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0490" windowHeight="7305" firstSheet="3"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9">'Приложение №10'!$A$1:$I$51</definedName>
    <definedName name="_xlnm.Print_Area" localSheetId="1">'Приложение №2'!$A$1:$E$206</definedName>
    <definedName name="_xlnm.Print_Area" localSheetId="2">'Приложение №3'!$A$1:$C$108</definedName>
    <definedName name="_xlnm.Print_Area" localSheetId="3">'Приложение №4'!$A$1:$E$32</definedName>
    <definedName name="_xlnm.Print_Area" localSheetId="4">'Приложение №5'!$A$1:$F$37</definedName>
    <definedName name="_xlnm.Print_Area" localSheetId="5">'Приложение №6'!$A$1:$F$332</definedName>
    <definedName name="_xlnm.Print_Area" localSheetId="6">'Приложение №7'!$A$1:$F$305</definedName>
    <definedName name="_xlnm.Print_Area" localSheetId="7">'Приложение №8'!$A$1:$J$268</definedName>
    <definedName name="_xlnm.Print_Area" localSheetId="8">'Приложение №9'!$A$1:$J$259</definedName>
  </definedNames>
  <calcPr fullCalcOnLoad="1"/>
</workbook>
</file>

<file path=xl/sharedStrings.xml><?xml version="1.0" encoding="utf-8"?>
<sst xmlns="http://schemas.openxmlformats.org/spreadsheetml/2006/main" count="5753" uniqueCount="1609">
  <si>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</si>
  <si>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</si>
  <si>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</si>
  <si>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</si>
  <si>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</si>
  <si>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</si>
  <si>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</si>
  <si>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</si>
  <si>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</si>
  <si>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</si>
  <si>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</si>
  <si>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</si>
  <si>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</si>
  <si>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</si>
  <si>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</si>
  <si>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</si>
  <si>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</si>
  <si>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</si>
  <si>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</si>
  <si>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</si>
  <si>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</si>
  <si>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</si>
  <si>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</si>
  <si>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</si>
  <si>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</si>
  <si>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</si>
  <si>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</si>
  <si>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</si>
  <si>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</si>
  <si>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</si>
  <si>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</si>
  <si>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</si>
  <si>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</si>
  <si>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</si>
  <si>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</si>
  <si>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</si>
  <si>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</si>
  <si>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</si>
  <si>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</si>
  <si>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</si>
  <si>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</si>
  <si>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</si>
  <si>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</si>
  <si>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</si>
  <si>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</si>
  <si>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</si>
  <si>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</si>
  <si>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</si>
  <si>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</si>
  <si>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</si>
  <si>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</si>
  <si>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</si>
  <si>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</si>
  <si>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</si>
  <si>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</si>
  <si>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</si>
  <si>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</si>
  <si>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</si>
  <si>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</si>
  <si>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</si>
  <si>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</si>
  <si>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</si>
  <si>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Прочие доходы от компенсации затрат  бюджетов муниципальных районов</t>
  </si>
  <si>
    <t>037 1 17 05050 05 0000 180</t>
  </si>
  <si>
    <t>БЕЗВОЗМЕЗДНЫЕ ПОСТУПЛЕНИЯ</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</si>
  <si>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</si>
  <si>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</si>
  <si>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</si>
  <si>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</si>
  <si>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</si>
  <si>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</si>
  <si>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</si>
  <si>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</si>
  <si>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</si>
  <si>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</si>
  <si>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</si>
  <si>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</si>
  <si>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</si>
  <si>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</si>
  <si>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</si>
  <si>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</si>
  <si>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</si>
  <si>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</si>
  <si>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</si>
  <si>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</si>
  <si>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</si>
  <si>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</si>
  <si>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</si>
  <si>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</si>
  <si>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</si>
  <si>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</si>
  <si>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</si>
  <si>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</si>
  <si>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</si>
  <si>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</si>
  <si>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</si>
  <si>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</si>
  <si>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</si>
  <si>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</si>
  <si>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</si>
  <si>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</si>
  <si>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</si>
  <si>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</si>
  <si>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</si>
  <si>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</si>
  <si>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</si>
  <si>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</si>
  <si>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</si>
  <si>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</si>
  <si>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</si>
  <si>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</si>
  <si>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</si>
  <si>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</si>
  <si>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</si>
  <si>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</si>
  <si>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</si>
  <si>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</si>
  <si>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</si>
  <si>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</si>
  <si>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</si>
  <si>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</si>
  <si>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</si>
  <si>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</si>
  <si>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</si>
  <si>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</si>
  <si>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</si>
  <si>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</si>
  <si>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</si>
  <si>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</si>
  <si>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</si>
  <si>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</si>
  <si>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</si>
  <si>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</si>
  <si>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</si>
  <si>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</si>
  <si>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</si>
  <si>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</si>
  <si>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</si>
  <si>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</si>
  <si>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</si>
  <si>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</si>
  <si>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</si>
  <si>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</si>
  <si>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</si>
  <si>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</si>
  <si>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</si>
  <si>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</si>
  <si>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</si>
  <si>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</si>
  <si>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</si>
  <si>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</si>
  <si>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</si>
  <si>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</si>
  <si>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</si>
  <si>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</si>
  <si>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</si>
  <si>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</si>
  <si>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</si>
  <si>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</si>
  <si>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</si>
  <si>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</si>
  <si>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</si>
  <si>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</si>
  <si>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</si>
  <si>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</si>
  <si>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</si>
  <si>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</si>
  <si>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</si>
  <si>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</si>
  <si>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</si>
  <si>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</si>
  <si>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</si>
  <si>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</si>
  <si>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</si>
  <si>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</si>
  <si>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</si>
  <si>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</si>
  <si>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</si>
  <si>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</si>
  <si>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</si>
  <si>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</si>
  <si>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</si>
  <si>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</si>
  <si>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</si>
  <si>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</si>
  <si>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Афанасьевское</t>
  </si>
  <si>
    <t>Васильевское</t>
  </si>
  <si>
    <t>Введенское</t>
  </si>
  <si>
    <t>Китовское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</si>
  <si>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</si>
  <si>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</si>
  <si>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</si>
  <si>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</si>
  <si>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</si>
  <si>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</si>
  <si>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</si>
  <si>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</si>
  <si>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</si>
  <si>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</si>
  <si>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</si>
  <si>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</si>
  <si>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</si>
  <si>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</si>
  <si>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</si>
  <si>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</si>
  <si>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</si>
  <si>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</si>
  <si>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</si>
  <si>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</si>
  <si>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</si>
  <si>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</si>
  <si>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</si>
  <si>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</si>
  <si>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</si>
  <si>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</si>
  <si>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</si>
  <si>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</si>
  <si>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</si>
  <si>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</si>
  <si>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</si>
  <si>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Сумма, изменения</t>
  </si>
  <si>
    <t>Сумма, с учетом изменений</t>
  </si>
  <si>
    <t>Массовый спорт</t>
  </si>
  <si>
    <t>10</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</si>
  <si>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</si>
  <si>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</si>
  <si>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</si>
  <si>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</si>
  <si>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</si>
  <si>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</si>
  <si>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</si>
  <si>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</si>
  <si>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</si>
  <si>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</si>
  <si>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</si>
  <si>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</si>
  <si>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</si>
  <si>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</si>
  <si>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</si>
  <si>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Проценты, полученные от предоставления бюджетных кредитов внутри страны за счет средств бюджетов муниципальных районов</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</si>
  <si>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</si>
  <si>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</si>
  <si>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</si>
  <si>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</si>
  <si>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</si>
  <si>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</si>
  <si>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</si>
  <si>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</si>
  <si>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</si>
  <si>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</si>
  <si>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</si>
  <si>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</si>
  <si>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</si>
  <si>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</si>
  <si>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</si>
  <si>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</si>
  <si>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</si>
  <si>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</si>
  <si>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</si>
  <si>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</si>
  <si>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</si>
  <si>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</si>
  <si>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</si>
  <si>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</si>
  <si>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</si>
  <si>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</si>
  <si>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</si>
  <si>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</si>
  <si>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</si>
  <si>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</si>
  <si>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</si>
  <si>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</si>
  <si>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</si>
  <si>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</si>
  <si>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</si>
  <si>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</si>
  <si>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</si>
  <si>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</si>
  <si>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</si>
  <si>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</si>
  <si>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</si>
  <si>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</si>
  <si>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</si>
  <si>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</si>
  <si>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</si>
  <si>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912</t>
  </si>
  <si>
    <t>Казенные учреждения образования</t>
  </si>
  <si>
    <t>12</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</si>
  <si>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</si>
  <si>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</si>
  <si>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</si>
  <si>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</si>
  <si>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</si>
  <si>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</si>
  <si>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</si>
  <si>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</si>
  <si>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</si>
  <si>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</si>
  <si>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</si>
  <si>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</si>
  <si>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</si>
  <si>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</si>
  <si>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</si>
  <si>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</si>
  <si>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</si>
  <si>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</si>
  <si>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</si>
  <si>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</si>
  <si>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</si>
  <si>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</si>
  <si>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</si>
  <si>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</si>
  <si>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</si>
  <si>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</si>
  <si>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</si>
  <si>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</si>
  <si>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</si>
  <si>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</si>
  <si>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</si>
  <si>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</si>
  <si>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</si>
  <si>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</si>
  <si>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</si>
  <si>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</si>
  <si>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</si>
  <si>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</si>
  <si>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</si>
  <si>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</si>
  <si>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</si>
  <si>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</si>
  <si>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</si>
  <si>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</si>
  <si>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</si>
  <si>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</si>
  <si>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</si>
  <si>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</si>
  <si>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</si>
  <si>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</si>
  <si>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</si>
  <si>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</si>
  <si>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</si>
  <si>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</si>
  <si>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</si>
  <si>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</si>
  <si>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</si>
  <si>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</si>
  <si>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</si>
  <si>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</si>
  <si>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</si>
  <si>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</si>
  <si>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</si>
  <si>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</si>
  <si>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</si>
  <si>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</si>
  <si>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</si>
  <si>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</si>
  <si>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</si>
  <si>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</si>
  <si>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</si>
  <si>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</si>
  <si>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</si>
  <si>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</si>
  <si>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</si>
  <si>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</si>
  <si>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</si>
  <si>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</si>
  <si>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</si>
  <si>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</si>
  <si>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</si>
  <si>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</si>
  <si>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</si>
  <si>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</si>
  <si>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</si>
  <si>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</si>
  <si>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</si>
  <si>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</si>
  <si>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</si>
  <si>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</si>
  <si>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</si>
  <si>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05 0 00 00000</t>
  </si>
  <si>
    <t>05 1 00 00000</t>
  </si>
  <si>
    <t>05 1 01 00000</t>
  </si>
  <si>
    <t>06 0 00 00000</t>
  </si>
  <si>
    <t>06 1 00 00000</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</si>
  <si>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</si>
  <si>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</si>
  <si>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</si>
  <si>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</si>
  <si>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</si>
  <si>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</si>
  <si>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</si>
  <si>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</si>
  <si>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</si>
  <si>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</si>
  <si>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</si>
  <si>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</si>
  <si>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</si>
  <si>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</si>
  <si>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</si>
  <si>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</si>
  <si>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</si>
  <si>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</si>
  <si>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</si>
  <si>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</si>
  <si>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</si>
  <si>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</si>
  <si>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</si>
  <si>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</si>
  <si>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</si>
  <si>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</si>
  <si>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</si>
  <si>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</si>
  <si>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</si>
  <si>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</si>
  <si>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</si>
  <si>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</si>
  <si>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</si>
  <si>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</si>
  <si>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</si>
  <si>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</si>
  <si>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</si>
  <si>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</si>
  <si>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</si>
  <si>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</si>
  <si>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</si>
  <si>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</si>
  <si>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</si>
  <si>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</si>
  <si>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</si>
  <si>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</si>
  <si>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</si>
  <si>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</si>
  <si>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</si>
  <si>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</si>
  <si>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</si>
  <si>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</si>
  <si>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</si>
  <si>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</si>
  <si>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</si>
  <si>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</si>
  <si>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</si>
  <si>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</si>
  <si>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</si>
  <si>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</si>
  <si>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</si>
  <si>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</si>
  <si>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</si>
  <si>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</si>
  <si>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</si>
  <si>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</si>
  <si>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</si>
  <si>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</si>
  <si>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</si>
  <si>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</si>
  <si>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</si>
  <si>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Основное мероприятие «Организация отдыха и оздоровления детей»</t>
  </si>
  <si>
    <t>Подпрограмма «Проведение комплексных мероприятий по борьбе с преступностью, противодействие коррупции»</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</si>
  <si>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</si>
  <si>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</si>
  <si>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</si>
  <si>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</si>
  <si>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</si>
  <si>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</si>
  <si>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</si>
  <si>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</si>
  <si>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</si>
  <si>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</si>
  <si>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</si>
  <si>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</si>
  <si>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</si>
  <si>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</si>
  <si>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</si>
  <si>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</si>
  <si>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</si>
  <si>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</si>
  <si>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</si>
  <si>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</si>
  <si>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</si>
  <si>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</si>
  <si>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</si>
  <si>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</si>
  <si>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</si>
  <si>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</si>
  <si>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80360</t>
  </si>
  <si>
    <t>80350</t>
  </si>
  <si>
    <t>00200</t>
  </si>
  <si>
    <t>00210</t>
  </si>
  <si>
    <t>20010</t>
  </si>
  <si>
    <t>00020</t>
  </si>
  <si>
    <t>00</t>
  </si>
  <si>
    <t>20030</t>
  </si>
  <si>
    <t>00410</t>
  </si>
  <si>
    <t>00090</t>
  </si>
  <si>
    <t>00220</t>
  </si>
  <si>
    <t>20040</t>
  </si>
  <si>
    <t>20020</t>
  </si>
  <si>
    <t>20050</t>
  </si>
  <si>
    <t>00040</t>
  </si>
  <si>
    <t>00050</t>
  </si>
  <si>
    <t>00080</t>
  </si>
  <si>
    <t>00380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</si>
  <si>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</si>
  <si>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</si>
  <si>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</si>
  <si>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</si>
  <si>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</si>
  <si>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</si>
  <si>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</si>
  <si>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</si>
  <si>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</si>
  <si>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</si>
  <si>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</si>
  <si>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</si>
  <si>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</si>
  <si>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</si>
  <si>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</si>
  <si>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</si>
  <si>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</si>
  <si>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</si>
  <si>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</si>
  <si>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</si>
  <si>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</si>
  <si>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</si>
  <si>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</si>
  <si>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</si>
  <si>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</si>
  <si>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</si>
  <si>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</si>
  <si>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</si>
  <si>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</si>
  <si>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</si>
  <si>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</si>
  <si>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</si>
  <si>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</si>
  <si>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</si>
  <si>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</si>
  <si>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</si>
  <si>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</si>
  <si>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</si>
  <si>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</si>
  <si>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</si>
  <si>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</si>
  <si>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</si>
  <si>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</si>
  <si>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</si>
  <si>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</si>
  <si>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</si>
  <si>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00250</t>
  </si>
  <si>
    <t>02 2 02 00250</t>
  </si>
  <si>
    <t>00150</t>
  </si>
  <si>
    <t>Объем бюджетных ассигнований на исполнение гарантий по возможным гарантийным случаям по годам, рублей</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</si>
  <si>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</si>
  <si>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</si>
  <si>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</si>
  <si>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</si>
  <si>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</si>
  <si>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</si>
  <si>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</si>
  <si>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</si>
  <si>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</si>
  <si>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</si>
  <si>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</si>
  <si>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</si>
  <si>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</si>
  <si>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</si>
  <si>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</si>
  <si>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</si>
  <si>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</si>
  <si>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</si>
  <si>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</si>
  <si>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</si>
  <si>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</si>
  <si>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</si>
  <si>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</si>
  <si>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</si>
  <si>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</si>
  <si>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</si>
  <si>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</si>
  <si>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</si>
  <si>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</si>
  <si>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</si>
  <si>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</si>
  <si>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</si>
  <si>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</si>
  <si>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</si>
  <si>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</si>
  <si>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</si>
  <si>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</si>
  <si>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</si>
  <si>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</si>
  <si>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</si>
  <si>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</si>
  <si>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</si>
  <si>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</si>
  <si>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</si>
  <si>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</si>
  <si>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</si>
  <si>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</si>
  <si>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</si>
  <si>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</si>
  <si>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</si>
  <si>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</si>
  <si>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</si>
  <si>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</si>
  <si>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</si>
  <si>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изменения</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</si>
  <si>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</si>
  <si>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</si>
  <si>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</si>
  <si>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</si>
  <si>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</si>
  <si>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</si>
  <si>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</si>
  <si>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</si>
  <si>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</si>
  <si>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</si>
  <si>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</si>
  <si>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</si>
  <si>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</si>
  <si>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</si>
  <si>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</si>
  <si>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</si>
  <si>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</si>
  <si>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</si>
  <si>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Таблица 1</t>
  </si>
  <si>
    <t>Общая сумма</t>
  </si>
  <si>
    <t>2021 год</t>
  </si>
  <si>
    <t>2022 год</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</si>
  <si>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</si>
  <si>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</si>
  <si>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</si>
  <si>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</si>
  <si>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</si>
  <si>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</si>
  <si>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</si>
  <si>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</si>
  <si>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</si>
  <si>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</si>
  <si>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</si>
  <si>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</si>
  <si>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</si>
  <si>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</si>
  <si>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</si>
  <si>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</si>
  <si>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</si>
  <si>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</si>
  <si>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«Управление муниципальными финансами Шуйского муниципального района»</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</si>
  <si>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</si>
  <si>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</si>
  <si>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</si>
  <si>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08 2 01 00300</t>
  </si>
  <si>
    <t>08 2 01 00310</t>
  </si>
  <si>
    <t>08 4 01 40020</t>
  </si>
  <si>
    <t>08 4 01 00280</t>
  </si>
  <si>
    <t>08 5 01 00330</t>
  </si>
  <si>
    <t>08 5 01 00350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</si>
  <si>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</si>
  <si>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</si>
  <si>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</si>
  <si>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</si>
  <si>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</si>
  <si>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</si>
  <si>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</si>
  <si>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</si>
  <si>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</si>
  <si>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</si>
  <si>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00350</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</si>
  <si>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</si>
  <si>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</si>
  <si>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</si>
  <si>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</si>
  <si>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</si>
  <si>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</si>
  <si>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</si>
  <si>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</si>
  <si>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</si>
  <si>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</si>
  <si>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</si>
  <si>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</si>
  <si>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</si>
  <si>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</si>
  <si>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</si>
  <si>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</si>
  <si>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</si>
  <si>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</si>
  <si>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</si>
  <si>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</si>
  <si>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</si>
  <si>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</si>
  <si>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</si>
  <si>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</si>
  <si>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</si>
  <si>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</si>
  <si>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</si>
  <si>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</si>
  <si>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</si>
  <si>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</si>
  <si>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</si>
  <si>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</si>
  <si>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</si>
  <si>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</si>
  <si>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</si>
  <si>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</si>
  <si>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</si>
  <si>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</si>
  <si>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</si>
  <si>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</si>
  <si>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</si>
  <si>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</si>
  <si>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</si>
  <si>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</si>
  <si>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</si>
  <si>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</si>
  <si>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</si>
  <si>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</si>
  <si>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</si>
  <si>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</si>
  <si>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</si>
  <si>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</si>
  <si>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</si>
  <si>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</si>
  <si>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</si>
  <si>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</si>
  <si>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</si>
  <si>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S0190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</si>
  <si>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</si>
  <si>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</si>
  <si>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</si>
  <si>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</si>
  <si>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</si>
  <si>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</si>
  <si>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</si>
  <si>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</si>
  <si>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</si>
  <si>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</si>
  <si>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</si>
  <si>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</si>
  <si>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</si>
  <si>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</si>
  <si>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</si>
  <si>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</si>
  <si>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</si>
  <si>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</si>
  <si>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</si>
  <si>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</si>
  <si>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</si>
  <si>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</si>
  <si>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</si>
  <si>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</si>
  <si>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</si>
  <si>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</si>
  <si>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</si>
  <si>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</si>
  <si>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</si>
  <si>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</si>
  <si>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</si>
  <si>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</si>
  <si>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</si>
  <si>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</si>
  <si>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</si>
  <si>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</si>
  <si>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</si>
  <si>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</si>
  <si>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</si>
  <si>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</si>
  <si>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</si>
  <si>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</si>
  <si>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</si>
  <si>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</si>
  <si>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</si>
  <si>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</si>
  <si>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</si>
  <si>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</si>
  <si>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</si>
  <si>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</si>
  <si>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</si>
  <si>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</si>
  <si>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</si>
  <si>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</si>
  <si>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</si>
  <si>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</si>
  <si>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</si>
  <si>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</si>
  <si>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</si>
  <si>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</si>
  <si>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</si>
  <si>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</si>
  <si>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</si>
  <si>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</si>
  <si>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</si>
  <si>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</si>
  <si>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</si>
  <si>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</si>
  <si>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</si>
  <si>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</si>
  <si>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</si>
  <si>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</si>
  <si>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</si>
  <si>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</si>
  <si>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</si>
  <si>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</si>
  <si>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</si>
  <si>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</si>
  <si>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</si>
  <si>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</si>
  <si>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</si>
  <si>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</si>
  <si>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</si>
  <si>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</si>
  <si>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</si>
  <si>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</si>
  <si>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</si>
  <si>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</si>
  <si>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</si>
  <si>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</si>
  <si>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</si>
  <si>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</si>
  <si>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</si>
  <si>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</si>
  <si>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</si>
  <si>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</si>
  <si>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</si>
  <si>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</si>
  <si>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</si>
  <si>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</si>
  <si>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</si>
  <si>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</si>
  <si>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</si>
  <si>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</si>
  <si>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</si>
  <si>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</si>
  <si>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</si>
  <si>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</si>
  <si>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</si>
  <si>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</si>
  <si>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</si>
  <si>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</si>
  <si>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</si>
  <si>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</si>
  <si>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</si>
  <si>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</si>
  <si>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</si>
  <si>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</si>
  <si>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</si>
  <si>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</si>
  <si>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</si>
  <si>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</si>
  <si>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</si>
  <si>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</si>
  <si>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2023 год</t>
  </si>
  <si>
    <t>Долг на 01.01.2021 г.</t>
  </si>
  <si>
    <t>Муниципальная программа «Совершенствование организации муниципального управления»</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</si>
  <si>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</si>
  <si>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</si>
  <si>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</si>
  <si>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</si>
  <si>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</si>
  <si>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</si>
  <si>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</si>
  <si>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</si>
  <si>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</si>
  <si>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</si>
  <si>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</si>
  <si>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</si>
  <si>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</si>
  <si>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</si>
  <si>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</si>
  <si>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</si>
  <si>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</si>
  <si>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</si>
  <si>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</si>
  <si>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</si>
  <si>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</si>
  <si>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</si>
  <si>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</si>
  <si>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</si>
  <si>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</si>
  <si>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</si>
  <si>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</si>
  <si>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</si>
  <si>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</si>
  <si>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</si>
  <si>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</si>
  <si>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</si>
  <si>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</si>
  <si>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</si>
  <si>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</si>
  <si>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</si>
  <si>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</si>
  <si>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</si>
  <si>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</si>
  <si>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</si>
  <si>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</si>
  <si>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</si>
  <si>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</si>
  <si>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</si>
  <si>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</si>
  <si>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</si>
  <si>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</si>
  <si>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</si>
  <si>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</si>
  <si>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</si>
  <si>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</si>
  <si>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</si>
  <si>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</si>
  <si>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</si>
  <si>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</si>
  <si>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</si>
  <si>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</si>
  <si>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</si>
  <si>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</si>
  <si>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</si>
  <si>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</si>
  <si>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</si>
  <si>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</si>
  <si>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</si>
  <si>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</si>
  <si>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</si>
  <si>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</si>
  <si>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</si>
  <si>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</si>
  <si>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</si>
  <si>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</si>
  <si>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 xml:space="preserve">Обеспечение функций Совета Шуйского муниципального района (Социальное обеспечение и иные выплаты населению)    </t>
  </si>
  <si>
    <t>00540</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</si>
  <si>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</si>
  <si>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</si>
  <si>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</si>
  <si>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</si>
  <si>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</si>
  <si>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</si>
  <si>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</si>
  <si>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</si>
  <si>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</si>
  <si>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</si>
  <si>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</si>
  <si>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</si>
  <si>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</si>
  <si>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</si>
  <si>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</si>
  <si>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</si>
  <si>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</si>
  <si>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</si>
  <si>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</si>
  <si>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00600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</si>
  <si>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</si>
  <si>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</si>
  <si>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</si>
  <si>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</si>
  <si>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</si>
  <si>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</si>
  <si>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</si>
  <si>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</si>
  <si>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</si>
  <si>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</si>
  <si>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</si>
  <si>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</si>
  <si>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</si>
  <si>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08 3 01 L4970</t>
  </si>
  <si>
    <t>L4970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</si>
  <si>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</si>
  <si>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</si>
  <si>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</si>
  <si>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</si>
  <si>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</si>
  <si>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</si>
  <si>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00660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</si>
  <si>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</si>
  <si>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</si>
  <si>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</si>
  <si>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</si>
  <si>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</si>
  <si>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</si>
  <si>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</si>
  <si>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</si>
  <si>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</si>
  <si>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</si>
  <si>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</si>
  <si>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1101</t>
  </si>
  <si>
    <t>Физическая культура</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</si>
  <si>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</si>
  <si>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</si>
  <si>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</si>
  <si>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</si>
  <si>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</si>
  <si>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</si>
  <si>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</si>
  <si>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</si>
  <si>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</si>
  <si>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</si>
  <si>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20210</t>
  </si>
  <si>
    <t>Плата за размещение отходов производства</t>
  </si>
  <si>
    <t>08 6 01 00650</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</si>
  <si>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</si>
  <si>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</si>
  <si>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2021 год  руб.</t>
  </si>
  <si>
    <t>2024 год</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</si>
  <si>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</si>
  <si>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</si>
  <si>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</si>
  <si>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</si>
  <si>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</si>
  <si>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</si>
  <si>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</si>
  <si>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</si>
  <si>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</si>
  <si>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</si>
  <si>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</si>
  <si>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</si>
  <si>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</si>
  <si>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</si>
  <si>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</si>
  <si>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</si>
  <si>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</si>
  <si>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</si>
  <si>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</si>
  <si>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</si>
  <si>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</si>
  <si>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</si>
  <si>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</si>
  <si>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</si>
  <si>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</si>
  <si>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</si>
  <si>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</si>
  <si>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</si>
  <si>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</si>
  <si>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</si>
  <si>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</si>
  <si>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</si>
  <si>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</si>
  <si>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</si>
  <si>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</si>
  <si>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</si>
  <si>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</si>
  <si>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</si>
  <si>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</si>
  <si>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</si>
  <si>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</si>
  <si>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</si>
  <si>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</si>
  <si>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</si>
  <si>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</si>
  <si>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</si>
  <si>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</si>
  <si>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000 2 19 00000 05 0000 150</t>
  </si>
  <si>
    <t>000 2 19 60010 05 0000 150</t>
  </si>
  <si>
    <t>037 2 19 60010 05 0000 150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</si>
  <si>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</si>
  <si>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</si>
  <si>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</si>
  <si>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</si>
  <si>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</si>
  <si>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</si>
  <si>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</si>
  <si>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</si>
  <si>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</si>
  <si>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</si>
  <si>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</si>
  <si>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</si>
  <si>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</si>
  <si>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</si>
  <si>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</si>
  <si>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</si>
  <si>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</si>
  <si>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</si>
  <si>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</si>
  <si>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</si>
  <si>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</si>
  <si>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</si>
  <si>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</si>
  <si>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</si>
  <si>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</si>
  <si>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</si>
  <si>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</si>
  <si>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</si>
  <si>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</si>
  <si>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</si>
  <si>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Основное мероприятие «Организация и проведение мероприятий, направленных на повышение уровня безопасности дорожного движения»</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</si>
  <si>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</si>
  <si>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</si>
  <si>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</si>
  <si>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</si>
  <si>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</si>
  <si>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</si>
  <si>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</si>
  <si>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</si>
  <si>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</si>
  <si>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</si>
  <si>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</si>
  <si>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</si>
  <si>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</si>
  <si>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</si>
  <si>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</si>
  <si>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</si>
  <si>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</si>
  <si>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</si>
  <si>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</si>
  <si>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</si>
  <si>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</si>
  <si>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</si>
  <si>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</si>
  <si>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</si>
  <si>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</si>
  <si>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</si>
  <si>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</si>
  <si>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</si>
  <si>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</si>
  <si>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</si>
  <si>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</si>
  <si>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</si>
  <si>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</si>
  <si>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</si>
  <si>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</si>
  <si>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</si>
  <si>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</si>
  <si>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</si>
  <si>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</si>
  <si>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</si>
  <si>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</si>
  <si>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</si>
  <si>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</si>
  <si>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</si>
  <si>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</si>
  <si>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</si>
  <si>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</si>
  <si>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</si>
  <si>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</si>
  <si>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</si>
  <si>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</si>
  <si>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</si>
  <si>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</si>
  <si>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</si>
  <si>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</si>
  <si>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</si>
  <si>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</si>
  <si>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</si>
  <si>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</si>
  <si>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</si>
  <si>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</si>
  <si>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</si>
  <si>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</si>
  <si>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</si>
  <si>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</si>
  <si>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</si>
  <si>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</si>
  <si>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</si>
  <si>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</si>
  <si>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</si>
  <si>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</si>
  <si>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</si>
  <si>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</si>
  <si>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</si>
  <si>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</si>
  <si>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</si>
  <si>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</si>
  <si>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</si>
  <si>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</si>
  <si>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</si>
  <si>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</si>
  <si>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</si>
  <si>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</si>
  <si>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r>
      <t>1</t>
    </r>
    <r>
      <rPr>
        <b/>
        <sz val="12"/>
        <rFont val="Times New Roman"/>
        <family val="1"/>
      </rPr>
      <t xml:space="preserve"> </t>
    </r>
    <r>
      <rPr>
        <sz val="12"/>
        <rFont val="Times New Roman"/>
        <family val="1"/>
      </rPr>
      <t>11 09035 05 0000 120</t>
    </r>
  </si>
  <si>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</si>
  <si>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</si>
  <si>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</si>
  <si>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20260</t>
  </si>
  <si>
    <t>R0820</t>
  </si>
  <si>
    <t>E2</t>
  </si>
  <si>
    <t>50970</t>
  </si>
  <si>
    <t>L5192</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</si>
  <si>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</si>
  <si>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</si>
  <si>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037 2 02 20077 05 0000 150</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</si>
  <si>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</si>
  <si>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</si>
  <si>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00780</t>
  </si>
  <si>
    <t>00790</t>
  </si>
  <si>
    <t>Основное мероприятие «Оказание имущественной поддержки субъектам малого и среднего предпринимательства»</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</si>
  <si>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</si>
  <si>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</si>
  <si>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900 1 13 02995 05 0000 130</t>
  </si>
  <si>
    <t>037 2 02 40014 05 0000 150</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</si>
  <si>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</si>
  <si>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</si>
  <si>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2022 год  руб.</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</si>
  <si>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</si>
  <si>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</si>
  <si>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</si>
  <si>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</si>
  <si>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</si>
  <si>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</si>
  <si>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</si>
  <si>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</si>
  <si>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000 1 16 01070 01 0000 140</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</si>
  <si>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</si>
  <si>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</si>
  <si>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</si>
  <si>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000 1 16 01120 01 0000 140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</si>
  <si>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</si>
  <si>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</si>
  <si>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</si>
  <si>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000 1 16 01200 01 0000 140</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</si>
  <si>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</si>
  <si>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</si>
  <si>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</si>
  <si>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</si>
  <si>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000 2 02 40014 05 0000 150</t>
  </si>
  <si>
    <t>2025 год</t>
  </si>
  <si>
    <t>Сведения о верхнем пределе муниципального внутреннего долга Шуйского муниципального района на 01.01.2023 года</t>
  </si>
  <si>
    <t xml:space="preserve">Верхний предел муниципального внутреннего долга Шуйского муниципального района по состоянию на 01.01.2023 года - 00,00 рублей, в т.ч. по муниципальным гарантиям - 00,00 рублей. </t>
  </si>
  <si>
    <t>Увеличение долга в 2022 году</t>
  </si>
  <si>
    <t>Погашение долга в 2022 году</t>
  </si>
  <si>
    <t>Долг на 01.01.2023 г.</t>
  </si>
  <si>
    <t xml:space="preserve">Информационное обеспечение мероприятий, связанных с вопросами по улучшению условий и охраны труда в Администрации Шуйского муниципального района (Закупка товаров, работ и услуг для обеспечения государственных (муниципальных) нужд) </t>
  </si>
  <si>
    <t>00810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</si>
  <si>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 установленных законодательством Российской Федерации (Иные межбюджетные ассигнования)</t>
  </si>
  <si>
    <t xml:space="preserve">Информационное обеспечение мероприятий, связанных с вопросами по улучшению условий и охраны труда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</si>
  <si>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00850</t>
  </si>
  <si>
    <t>07 1 02 00000</t>
  </si>
  <si>
    <t>Подпрограмма «Развитие туризма в Шуйском муниципальном районе»</t>
  </si>
  <si>
    <t>07 3 00 00000</t>
  </si>
  <si>
    <t>07 3 01 00000</t>
  </si>
  <si>
    <t>Резервный фонд</t>
  </si>
  <si>
    <t>0111</t>
  </si>
  <si>
    <t>Резервный фонд администрации Шуйского муниципального района (Иные бюджетные ассигнования)</t>
  </si>
  <si>
    <t>02 2 02 00850</t>
  </si>
  <si>
    <t>30 9 00 00810</t>
  </si>
  <si>
    <t>Основное мероприятие «Организация и проведение культурно-массовых мероприятий»</t>
  </si>
  <si>
    <t>10030</t>
  </si>
  <si>
    <t>ИТОГО:</t>
  </si>
  <si>
    <t>10 1 01 80110</t>
  </si>
  <si>
    <t>03 3 00 00000</t>
  </si>
  <si>
    <t>03 3 01 00000</t>
  </si>
  <si>
    <t>03 3 01 00610</t>
  </si>
  <si>
    <t>03 3 01 00620</t>
  </si>
  <si>
    <t>05 1 01 00370</t>
  </si>
  <si>
    <t>05 1 01 00060</t>
  </si>
  <si>
    <t>05 1 01 00120</t>
  </si>
  <si>
    <t>05 1 01 00510</t>
  </si>
  <si>
    <t>05 1 01 00520</t>
  </si>
  <si>
    <t>05 1 02 00000</t>
  </si>
  <si>
    <t>05 1 02 00530</t>
  </si>
  <si>
    <t>05 1 02 00560</t>
  </si>
  <si>
    <t>05 1 02 00550</t>
  </si>
  <si>
    <t>05 1 03 00000</t>
  </si>
  <si>
    <t>05 1 03 00580</t>
  </si>
  <si>
    <t>05 1 03 00830</t>
  </si>
  <si>
    <t>05 1 03 00820</t>
  </si>
  <si>
    <t>05 1 03 00590</t>
  </si>
  <si>
    <t>05</t>
  </si>
  <si>
    <t>Основное мероприятие «Продвижение  туристического продукта»</t>
  </si>
  <si>
    <t>Муниципальная программа «Развитие культуры и туризма в Шуйском муниципальном районе»</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</si>
  <si>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</si>
  <si>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Организация и проведение специальной оценки условий труда (СОУТ)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</si>
  <si>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05 1 01 00890</t>
  </si>
  <si>
    <t>00890</t>
  </si>
  <si>
    <t xml:space="preserve">Организация обучения по охране труда работников в  администрации Шуйского муниципального района (Закупка товаров, работ и услуг для обеспечения государственных (муниципальных) нужд) </t>
  </si>
  <si>
    <t>05 1 02 00900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</si>
  <si>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</si>
  <si>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</si>
  <si>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30 9 00 20280</t>
  </si>
  <si>
    <t>20280</t>
  </si>
  <si>
    <t>04 2 00 00000</t>
  </si>
  <si>
    <t>04 2 01 00000</t>
  </si>
  <si>
    <t xml:space="preserve">Подпрограмма «Имущественная поддержка субъектов малого и среднего предпринимательства» </t>
  </si>
  <si>
    <t>Подпрограмма «Эффективное управление муниципальным имуществом Шуйского муниципального района»</t>
  </si>
  <si>
    <t>Подпрограмма «Эффективное управление земельными ресурсами Шуйского муниципального района»</t>
  </si>
  <si>
    <t>01 2 01 0000</t>
  </si>
  <si>
    <t>01 2 00 0000</t>
  </si>
  <si>
    <t>01 2 01 20020</t>
  </si>
  <si>
    <t>04 2 01 00780</t>
  </si>
  <si>
    <t>04 2 01 00790</t>
  </si>
  <si>
    <t xml:space="preserve">Организация и проведение мероприятия «День предпринимателя» (Закупка товаров, работ и услуг для обеспечения государственных (муниципальных) нужд)  </t>
  </si>
  <si>
    <t>Предоставление субсидий из бюджета Шуйского муниципального района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</si>
  <si>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Подпрограмма «Сохранение и развитие культурного потенциала Шуйского муниципального района»</t>
  </si>
  <si>
    <t>1 16 01053 01 0000 140</t>
  </si>
  <si>
    <t>1 16 01063 01 0000 140</t>
  </si>
  <si>
    <t>1 16 01073 01 0000 140</t>
  </si>
  <si>
    <t>1 16 01203 01 0000 140</t>
  </si>
  <si>
    <t xml:space="preserve">Организация обучения по охране труда работников в   МКУ Управление административно-хозяйственного обеспечения (Закупка товаров, работ и услуг для обеспечения государственных (муниципальных) нужд) </t>
  </si>
  <si>
    <t>05 1 02 00920</t>
  </si>
  <si>
    <t>00920</t>
  </si>
  <si>
    <t>11 1 01 60160</t>
  </si>
  <si>
    <t>11 1 01 00390</t>
  </si>
  <si>
    <t>11 1 01 S0190</t>
  </si>
  <si>
    <t>11 1 01 80200</t>
  </si>
  <si>
    <t>11 1 02 00000</t>
  </si>
  <si>
    <t>11 1 02 00220</t>
  </si>
  <si>
    <t>11 1 02 20090</t>
  </si>
  <si>
    <t>11 1 02 00660</t>
  </si>
  <si>
    <t>11 1 02 80350</t>
  </si>
  <si>
    <t>11 1 02 80360</t>
  </si>
  <si>
    <t>11 1 03 00000</t>
  </si>
  <si>
    <t>11 1 03 20210</t>
  </si>
  <si>
    <t>11 1 03 20260</t>
  </si>
  <si>
    <t>11 2 00 00000</t>
  </si>
  <si>
    <t>11 2 01 00000</t>
  </si>
  <si>
    <t>11 2 01 20160</t>
  </si>
  <si>
    <t>11 2 02 00000</t>
  </si>
  <si>
    <t>11 2 02 00360</t>
  </si>
  <si>
    <t>11 2 02 00600</t>
  </si>
  <si>
    <t>11 2 02 00490</t>
  </si>
  <si>
    <t>11 3 00 00000</t>
  </si>
  <si>
    <t>11 3 01 00000</t>
  </si>
  <si>
    <t>11 3 01 00670</t>
  </si>
  <si>
    <t>Департамент социальной защиты населения Ивановской области</t>
  </si>
  <si>
    <t>023</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</si>
  <si>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</si>
  <si>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</si>
  <si>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Подпрограмма «Повышение уровня безопасности дорожного движения в Шуйском муниципальном районе»</t>
  </si>
  <si>
    <t>Организация мероприятий молодежной политики (Предоставление субсидий бюджетным, автономным учреждениям и иным некоммерческим организациям)</t>
  </si>
  <si>
    <t xml:space="preserve">Организация и проведение культурно-массовых мероприятий (Предоставление субсидий бюджетным, автономным учреждениям и иным некоммерческим организациям) </t>
  </si>
  <si>
    <t xml:space="preserve">Организация и проведение культурно-массовых мероприятий  (Предоставление субсидий бюджетным, автономным учреждениям и иным некоммерческим организациям) </t>
  </si>
  <si>
    <t>БЫЛО</t>
  </si>
  <si>
    <t>Субсидии бюджетам муниципальных районов,
городских округов Ивановской области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</si>
  <si>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муниципальных образований
Ивановской области на развитие транспортной инфраструктуры на сельских территориях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</si>
  <si>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Реконструкция и строительство автомобильных дорог (Капитальные вложения в объекты государственной (муниципальной) собственности)</t>
  </si>
  <si>
    <t>32 9 00 60490</t>
  </si>
  <si>
    <t>10 2 E1 51690</t>
  </si>
  <si>
    <t>10 2 01 S0080</t>
  </si>
  <si>
    <t>было</t>
  </si>
  <si>
    <t xml:space="preserve">Внедрение в казенных общеобразовательных учреждениях целевой модели цифровой образовательной среды (Закупка товаров, работ и услуг для обеспечения государственных (муниципальных) нужд) </t>
  </si>
  <si>
    <t>10 2 01 00930</t>
  </si>
  <si>
    <t>10 2 01 60500</t>
  </si>
  <si>
    <t>Субсидия бюджетным учреждениям на внедрение в общеобразовательных учреждениях целевой модели цифровой образовательной среды (Предоставление субсидий бюджетным, автономным учреждениям и иным некоммерческим организациям)</t>
  </si>
  <si>
    <t xml:space="preserve">Субсидия бюджетным учреждениям общего образования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</si>
  <si>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Организация питания обучающихся 1 - 4 классов муниципальных общеобразовательных организаций (Предоставление субсидий бюджетным, автономным учреждениям и иным некоммерческим организациям) </t>
  </si>
  <si>
    <t>Организация питания обучающихся 1 - 4 классов муниципальных общеобразовательных организаций (Закупка товаров, работ и услуг для обеспечения государственных (муниципальных) нужд)</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</si>
  <si>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</si>
  <si>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</si>
  <si>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60510</t>
  </si>
  <si>
    <t>Е4</t>
  </si>
  <si>
    <t>52100</t>
  </si>
  <si>
    <t xml:space="preserve">Внедрение целевой модели цифровой образовательной среды в общеобразовательных организациях (Закупка товаров, работ и услуг для обеспечения государственных (муниципальных) нужд) </t>
  </si>
  <si>
    <t>Внедрение целевой модели цифровой образовательной среды в общеобразовательных организациях (Предоставление субсидий бюджетным, автономным учреждениям и иным некоммерческим организациям)</t>
  </si>
  <si>
    <t>1 16 01084 01 0000 140</t>
  </si>
  <si>
    <t>1 16 01204 01 0000 140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</si>
  <si>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</si>
  <si>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</si>
  <si>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</si>
  <si>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</si>
  <si>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000 2 02 25210 05 0000 150</t>
  </si>
  <si>
    <t>000 2 02 25210 00 0000 150</t>
  </si>
  <si>
    <t>037 2 02 25210 05 0000 150</t>
  </si>
  <si>
    <t>2 02 27372 05 0000 150</t>
  </si>
  <si>
    <t>2 02 25169 05 0000 150</t>
  </si>
  <si>
    <t>10 2 Е4 52100</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</si>
  <si>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</si>
  <si>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</si>
  <si>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08 2 01 00720</t>
  </si>
  <si>
    <t>07 1 02 60510</t>
  </si>
  <si>
    <t xml:space="preserve"> добавить строку</t>
  </si>
  <si>
    <t>Субсидии бюджетам муниципальных районов на софинансирование капитальных вложений в объекты муниципальной собственности</t>
  </si>
  <si>
    <t>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t>
  </si>
  <si>
    <t>Подключение сети газораспределения для последующей газификации жилых домов д. Мизгино Шуйского района Ивановской области (Капитальные вложения в объекты государственной (муниципальной) собственности)</t>
  </si>
  <si>
    <t>2 02 27576 05 0000 150</t>
  </si>
  <si>
    <t>Субсидии бюджетам муниципальных образований Ивановской области на развитие инженерной инфраструктуры на сельских территориях</t>
  </si>
  <si>
    <t>10 2 01 S0190</t>
  </si>
  <si>
    <t>10 2 01 80200</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</si>
  <si>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</si>
  <si>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06 1 01 L5762</t>
  </si>
  <si>
    <t>08 1 01 S2990</t>
  </si>
  <si>
    <t>S2990</t>
  </si>
  <si>
    <t>Доходы бюджетов муниципальных районов от возврата бюджетными учреждениями остатков субсидий прошлых лет</t>
  </si>
  <si>
    <t>2 18 05010 05 0000 150</t>
  </si>
  <si>
    <t>Проектирование строительства (реконструкции), капитального ремонта, 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</si>
  <si>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S3160</t>
  </si>
  <si>
    <t>Основное мероприятие «Организация и проведение оценки профессиональных рисков»</t>
  </si>
  <si>
    <t>05 1 04 00000</t>
  </si>
  <si>
    <t>05 1 04 00690</t>
  </si>
  <si>
    <t>05 1 04 00700</t>
  </si>
  <si>
    <t xml:space="preserve">Организация и проведение оценки профессиональных рисков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</si>
  <si>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оценки профессиональных рисков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</si>
  <si>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53031</t>
  </si>
  <si>
    <t>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(Предоставление субсидий бюджетным, автономным учреждениям и иным некоммерческим организациям)</t>
  </si>
  <si>
    <t xml:space="preserve">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</si>
  <si>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</si>
  <si>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037 2 02 45303 05 0000 150</t>
  </si>
  <si>
    <t>000 2 02 45303 05 0000 150</t>
  </si>
  <si>
    <t>000 2 02 45303 00 0000 150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</si>
  <si>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</si>
  <si>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</si>
  <si>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Разработка (корректировка) проектной документации и газификация населенных пунктов, объектов социальной инфраструктуры Шуйского муниципального района (Капитальные вложения в объекты государственной (муниципальной) собственности)</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</si>
  <si>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</si>
  <si>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03 1 01 86500</t>
  </si>
  <si>
    <t>10 2 01 53031</t>
  </si>
  <si>
    <t>Основное мероприятие «Организация ремонта муниципального жилого фонда»</t>
  </si>
  <si>
    <t>Основное мероприятие «Развитие инженерной инфраструктуры на сельских территориях»</t>
  </si>
  <si>
    <t>06 1 02 00000</t>
  </si>
  <si>
    <t>Основное мероприятие «Развитие сети плоскостных спортивных сооружений на сельских территориях»</t>
  </si>
  <si>
    <t>Развитие сети плоскостных спортивных сооружений на сельских территориях (Капитальные вложения в объекты государственной (муниципальной) собственности)</t>
  </si>
  <si>
    <t>06 1 02 20270</t>
  </si>
  <si>
    <t>Основное мероприятие «Разработка проектно-сметной документации объектов социальной и инженерной инфраструктуры населенных пунктов, расположенных в сельской местности»</t>
  </si>
  <si>
    <t>06 1 03 00000</t>
  </si>
  <si>
    <t>06 1 03 S3160</t>
  </si>
  <si>
    <t>Основное мероприятие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</si>
  <si>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06 1 04 00000</t>
  </si>
  <si>
    <t>06 1 04 L3721</t>
  </si>
  <si>
    <t>06 1 05 00000</t>
  </si>
  <si>
    <t>06 1 05 20290</t>
  </si>
  <si>
    <t>Улучшение жилищных условий граждан, проживающих на сельских территориях (Капитальные вложения в объекты государственной (муниципальной) собственности)</t>
  </si>
  <si>
    <t>Основное мероприятие «Улучшение жилищных условий граждан, проживающих на сельских территориях»</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</si>
  <si>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t>
  </si>
  <si>
    <t>10 2 01 L3041</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</si>
  <si>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</si>
  <si>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субсидий бюджетным, автономным учреждениям и иным некоммерческим организациям)</t>
  </si>
  <si>
    <t>2 02 25304 05 0000 150</t>
  </si>
  <si>
    <t>Основное мероприятие  «Организация дополнительного пенсионного обеспечения отдельных категорий граждан»</t>
  </si>
  <si>
    <t>Подпрограмма «Обеспечение деятельности МКУ «Управление административно-хозяйственного обеспечения»</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</si>
  <si>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</si>
  <si>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</si>
  <si>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</si>
  <si>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</si>
  <si>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</si>
  <si>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</si>
  <si>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</si>
  <si>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</si>
  <si>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1 16 01174 01 0000 140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</si>
  <si>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</si>
  <si>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</si>
  <si>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</si>
  <si>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Нормативы распределения доходов между бюджетом Шуйского муниципального района и бюджетами поселений Шуйского муниципального района 2021 год и на плановый период 2022 и 2023 годов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</si>
  <si>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</si>
  <si>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Плата за размещение отходов производств</t>
  </si>
  <si>
    <t>909 1 13 02995 05 0000 130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</si>
  <si>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</si>
  <si>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000 1 16 01000 01 0000 140
</t>
  </si>
  <si>
    <t>Административные штрафы, установленные Кодексом Российской Федерации об административных правонарушениях</t>
  </si>
  <si>
    <t>900 1 16 01123 01 0000 140</t>
  </si>
  <si>
    <t>Субсидии бюджетам на софинансирование капитальных вложений в объекты государственной (муниципальной) собственности</t>
  </si>
  <si>
    <t xml:space="preserve">000 2 02 20077 05 0000 150
</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</si>
  <si>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</si>
  <si>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</si>
  <si>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образований Ивановской области на ремонт автомобильных дорог и искусственных сооружений на них по наказам избирателей депутатам Ивановской областной Думы</t>
  </si>
  <si>
    <t>Субсидии бюджетам муниципальных образований на подготовку проектов внесения изменений в документы территориального планирования, правила землепользования и застройки</t>
  </si>
  <si>
    <t>Субсидия бюджетам муниципальных образований на разработку проектной документации и газификацию населенных пунктов Ивановской области</t>
  </si>
  <si>
    <t>Субсидия бюджетам муниципальных образований Ивановской области на реализацию мероприятий по комплексному обустройству объектами социальной и инженерной инфраструктуры населенных пунктов, расположенных в сельской местности</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</si>
  <si>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</si>
  <si>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</si>
  <si>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</si>
  <si>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</si>
  <si>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t>
  </si>
  <si>
    <t xml:space="preserve">000 2 02 40014 00 0000 150
</t>
  </si>
  <si>
    <t>Доходы бюджета Шуйского муниципального района по кодам классификации доходов на 2021 год и на плановый период 2022 и 2023 годов</t>
  </si>
  <si>
    <t>2 02 25210 05 0000 150</t>
  </si>
  <si>
    <t>Программа муниципальных гарантий Шуйского муниципального района в валюте Российской Федерации на 2021 год и на плановый период 2022 и 2023 годов</t>
  </si>
  <si>
    <t>1.1. Перечень подлежащих предоставлению муниципальных гарантий Шуйского муниципального района в 2021-2023 годах</t>
  </si>
  <si>
    <t>Предоставление гарантий в 2021, 2022, 2023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</si>
  <si>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2021 году и на плановый период 2022 и 2023 годов, а также на исполнение гарантий по возможным гарантийным случаям, которые возникнут в будущем          </t>
  </si>
  <si>
    <t>2026 год</t>
  </si>
  <si>
    <t>Проект программы муниципальных внутренних заимствований  на 2021 год  и на плановый период 2022 и 2023 годов Шуйского муниципального района</t>
  </si>
  <si>
    <t>Долг на 01.01.20223г.</t>
  </si>
  <si>
    <t>Сведения о верхнем пределе муниципального внутреннего долга Шуйского муниципального района на 01.01.2024 года</t>
  </si>
  <si>
    <t xml:space="preserve">Верхний предел муниципального внутреннего долга Шуйского муниципального района по состоянию на 01.01.2024 года - 00,00 рублей, в т.ч. по муниципальным гарантиям - 00,00 рублей. </t>
  </si>
  <si>
    <t>Увеличение долга в 2023 году</t>
  </si>
  <si>
    <t>Погашение долга в 2023 году</t>
  </si>
  <si>
    <t>Долг на 01.01.2024 г.</t>
  </si>
  <si>
    <t>Программа муниципальных внутренних заимствований  Шуйского муниципального района на 2021 год и плановый период 2022 и 2023 годов</t>
  </si>
  <si>
    <t xml:space="preserve">Ведомственная структура расходов бюджета Шуйского муниципального района на 2021 год </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</si>
  <si>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2022 и 2023 годы</t>
  </si>
  <si>
    <t xml:space="preserve">Организация обучения по охране труда работников в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</si>
  <si>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00940</t>
  </si>
  <si>
    <t>Информационное обеспечение мероприятий, связанных с вопросами по улучшению условий и охраны труда в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t>
  </si>
  <si>
    <t>00950</t>
  </si>
  <si>
    <t>Организация и проведение оценки профессиональных рисков в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t>
  </si>
  <si>
    <t>00960</t>
  </si>
  <si>
    <t>00510</t>
  </si>
  <si>
    <t xml:space="preserve">Организация обучения по охране труда работников в   МКУ "Управление административно-хозяйственного обеспечения" (Закупка товаров, работ и услуг для обеспечения государственных (муниципальных) нужд) </t>
  </si>
  <si>
    <t>Ведомственная структура расходов бюджета Шуйского муниципального района на 2022 и 2023 годы</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</si>
  <si>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</si>
  <si>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60530</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</si>
  <si>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2021 год</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</si>
  <si>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t>
  </si>
  <si>
    <t>Подпрограмма «Комплексное развитие сельских территорий Шуйского муниципального района Ивановской области»</t>
  </si>
  <si>
    <t xml:space="preserve">Организация обучения по охране труда работников в МКУ Управление административно-хозяйственного обеспечения (Закупка товаров, работ и услуг для обеспечения государственных (муниципальных) нужд) </t>
  </si>
  <si>
    <t>05 1 02 00940</t>
  </si>
  <si>
    <t>05 1 03 00950</t>
  </si>
  <si>
    <t>05 1 04 00960</t>
  </si>
  <si>
    <t>10 3 01 60530</t>
  </si>
  <si>
    <t>2021 год, руб.</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</si>
  <si>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</si>
  <si>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2023 год  руб.</t>
  </si>
  <si>
    <t>Источники внутреннего финансирования дефицита бюджета Шуйского муниципального района на 2021 год и на плановый период 2022 и 2023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</si>
  <si>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2021 год и на плановый период 2022 и 2023 годов по кодам классификации источников финансирования дефицита бюджета</t>
  </si>
  <si>
    <t>Межрегиональное управление Федеральной службы по надзору в сфере природопользования по Ивановской и Владимирской областям</t>
  </si>
  <si>
    <t>023 1 16 01063 01 0000 140</t>
  </si>
  <si>
    <t>023 1 16 01073 01 0000 140</t>
  </si>
  <si>
    <t>023 1 16 01203 01 0000 140</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</si>
  <si>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</si>
  <si>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</si>
  <si>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000 1 05 01000 00 0000 110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</si>
  <si>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</si>
  <si>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</si>
  <si>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000 1 05 01011 01 0000 110</t>
  </si>
  <si>
    <t>182 1 05 01011 01 0000 110</t>
  </si>
  <si>
    <t>000 1 05 01010 01 0000 110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</si>
  <si>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</si>
  <si>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</si>
  <si>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</si>
  <si>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</si>
  <si>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</si>
  <si>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00870</t>
  </si>
  <si>
    <t>Развитие туризма в Шуйском муниципальном районе  (Закупка товаров, работ и услуг для обеспечения государственных (муниципальных) нужд)</t>
  </si>
  <si>
    <t xml:space="preserve">Организация и проведение специальной оценки условий труда (СОУТ) в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</si>
  <si>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00970</t>
  </si>
  <si>
    <t>00900</t>
  </si>
  <si>
    <t>Таблица 2</t>
  </si>
  <si>
    <t>0850110010</t>
  </si>
  <si>
    <t>540</t>
  </si>
  <si>
    <t>Таблица 3</t>
  </si>
  <si>
    <t>0310110020</t>
  </si>
  <si>
    <t>0820110030</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</si>
  <si>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2021 год и на плановый период 2022 и 2023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</si>
  <si>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2021 год и на плановый период 2022 и 2023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</si>
  <si>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2021 год и на плановый период 2022 и 2023 годов</t>
  </si>
  <si>
    <t>07 3 01 00870</t>
  </si>
  <si>
    <t>05 1 01 00970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</si>
  <si>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(Иные бюджетные ассигнования)</t>
  </si>
  <si>
    <t>048 1 12 01041 01 0000 120</t>
  </si>
  <si>
    <t>от 24.12.2020 № 28</t>
  </si>
  <si>
    <t xml:space="preserve">000 2 02 25304 00 0000 150 </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</si>
  <si>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</si>
  <si>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</si>
  <si>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</si>
  <si>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037 2 02 25304 05 0000 150</t>
  </si>
  <si>
    <t>000 1 14 06013 05 0000 430</t>
  </si>
  <si>
    <t>Субсидия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t>
  </si>
  <si>
    <t>000 2 02 35469 05 0000 150</t>
  </si>
  <si>
    <t>000 2 02 35469 00 0000 150</t>
  </si>
  <si>
    <t xml:space="preserve">Субвенции бюджетам на проведение Всероссийской переписи населения 2020 года
</t>
  </si>
  <si>
    <t>Субвенции бюджетам муниципальных районов на проведение Всероссийской переписи населения 2020 года</t>
  </si>
  <si>
    <t>037 2 02 35469 05 0000 150</t>
  </si>
  <si>
    <t>000 1 11 05013 05 0000 120</t>
  </si>
  <si>
    <t>900 1 11 05013 05 0000 120</t>
  </si>
  <si>
    <t>000 1 11 05013 13 0000 120</t>
  </si>
  <si>
    <t>900 1 11 05013 13 0000 120</t>
  </si>
  <si>
    <t>1 11 05013 05 1000 120</t>
  </si>
  <si>
    <t>1 11 05013 05 2000 120</t>
  </si>
  <si>
    <t>L3041</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</si>
  <si>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</si>
  <si>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</si>
  <si>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Основное мероприятие «Проведение кадастровых работ в отношении неиспользуемых земель из состава земель сельскохозяйственного назначения»</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</si>
  <si>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</si>
  <si>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06 1 06 00000</t>
  </si>
  <si>
    <t>06 1 06 S7000</t>
  </si>
  <si>
    <t>S7000</t>
  </si>
  <si>
    <t>54690</t>
  </si>
  <si>
    <t xml:space="preserve">Проведение Всероссийской переписи населения 2020 года (Закупка товаров, работ и услуг для обеспечения государственных (муниципальных) нужд) </t>
  </si>
  <si>
    <t>Осуществление деятельности по газификации в Шуйском муниципальном районе (Капитальные вложения в объекты государственной (муниципальной) собственности)</t>
  </si>
  <si>
    <t>30 9 00 54690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</si>
  <si>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</si>
  <si>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</si>
  <si>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 xml:space="preserve">023 1 16 01053 01 0000 140
</t>
  </si>
  <si>
    <t>Перечень и коды главных администраторов доходов бюджета Шуйского муниципального района на 2021 год и на плановый период 2022 и 2023 годов</t>
  </si>
  <si>
    <t>A2</t>
  </si>
  <si>
    <t>55194</t>
  </si>
  <si>
    <t xml:space="preserve">Государственная поддержка лучших работников сельских учреждений культуры (Предоставление субсидий бюджетным, автономным учреждениям и иным некоммерческим организациям) </t>
  </si>
  <si>
    <t>00990</t>
  </si>
  <si>
    <t xml:space="preserve">Приобретение транспортного средства для исполнения полномочий Шуйского муниципального района в решении вопросов в сфере водо-, тепло-, газоснабжения и водоотведения  (Закупка товаров, работ и услуг для обеспечения государственных (муниципальных) нужд) </t>
  </si>
  <si>
    <t>Участие спортсменов района в региональных, всероссийских и международных соревнованиях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</si>
  <si>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деятельности по организации электро-, теплоснабжения на территории Шуйского муниципального района (Капитальные вложения в объекты государственной (муниципальной) собственности)</t>
  </si>
  <si>
    <t>00980</t>
  </si>
  <si>
    <t xml:space="preserve">Приобретение мазутного хозяйства (сооружения) для исполнения полномочий Шуйского муниципального района в решении вопросов в сфере теплоснабжения  (Закупка товаров, работ и услуг для обеспечения государственных (муниципальных) нужд) </t>
  </si>
  <si>
    <t>Приобретение мазутного хозяйства (сооружения) для исполнения полномочий Шуйского муниципального района в решении вопросов в сфере теплоснабжения  (Иные бюджетные ассигнования)</t>
  </si>
  <si>
    <t>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t>
  </si>
  <si>
    <t>30 9 00 00990</t>
  </si>
  <si>
    <t>30 9 00 00980</t>
  </si>
  <si>
    <t>07 2 А2 55194</t>
  </si>
  <si>
    <t xml:space="preserve">Обеспечение образовательных организаций материально-технической базой для внедрения цифровой образовательной среды (Закупка товаров, работ и услуг для обеспечения государственных (муниципальных) нужд) </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</si>
  <si>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</si>
  <si>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000 2 02 25169 00 0000 150</t>
  </si>
  <si>
    <t>000 2 02 25169 05 0000 150</t>
  </si>
  <si>
    <t>037 2 02 25169 05 0000 150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</si>
  <si>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</si>
  <si>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</si>
  <si>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000 2 02 25491 00 0000 150
</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</si>
  <si>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</si>
  <si>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000 2 02 25491 05 0000 150
</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</si>
  <si>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</si>
  <si>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037 2 02 25491 05 0000 150
</t>
  </si>
  <si>
    <t>Е1</t>
  </si>
  <si>
    <t>51690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</si>
  <si>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(Предоставление субсидий бюджетным, автономным учреждениям и иным некоммерческим организациям)</t>
  </si>
  <si>
    <t xml:space="preserve">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(Закупка товаров, работ и услуг для обеспечения государственных (муниципальных) нужд)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</si>
  <si>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</si>
  <si>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Е2</t>
  </si>
  <si>
    <t>54910</t>
  </si>
  <si>
    <t>10 2 Е1 51690</t>
  </si>
  <si>
    <t>10 3 Е2 54910</t>
  </si>
  <si>
    <t>000 2 02 25497 00 0000 150</t>
  </si>
  <si>
    <t>Субсидии бюджетам на реализацию мероприятий по обеспечению жильем молодых семей</t>
  </si>
  <si>
    <t>000 2 02 25497 05 0000 150</t>
  </si>
  <si>
    <t>Субсидии бюджетам муниципальных районов на реализацию мероприятий по обеспечению жильем молодых семей</t>
  </si>
  <si>
    <t>037 2 02 25497 05 0000 150</t>
  </si>
  <si>
    <t>Исполнение судебных актов (Иные бюджетные ассигнования)</t>
  </si>
  <si>
    <t>90020</t>
  </si>
  <si>
    <t>S7200</t>
  </si>
  <si>
    <t>Проведение государственной экспертизы проектной документации, результатов инженерных изысканий объекта капитального строительства "Строительство газораспределительных сетей для последующей газификации индивидуальных жилых домов деревни Никитинское Васильевского сельского поселения Шуйского муниципального района Ивановской области" (Капитальные вложения в объекты государственной (муниципальной) собственности)</t>
  </si>
  <si>
    <t>08 1 01 S7200</t>
  </si>
  <si>
    <t>30 9 00 90020</t>
  </si>
  <si>
    <t>Субсидии бюджетам муниципальных образований Ивановской области на разработку проектно-сметной документации объектов социальной и инженерной инфраструктуры населенных пунктов, расположенных в сельской местности (остаток неиспользованных бюджетных ассигнований 2020 года на оплату муниципальных контрактов)</t>
  </si>
  <si>
    <t>Приобретение мазутного хозяйства (сооружения) для исполнения полномочий Шуйского муниципального района в решении вопросов в сфере теплоснабжения  (Капитальные вложения в объекты государственной (муниципальной) собственности)</t>
  </si>
  <si>
    <t xml:space="preserve">Ежемесячное денежное вознаграждение за классное
руководство педагогическим работникам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</si>
  <si>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муниципальных
образовательных организаций (Предоставление субсидий бюджетным, автономным учреждениям и иным некоммерческим организациям)</t>
  </si>
  <si>
    <t>01000</t>
  </si>
  <si>
    <t>Проведение акарицидной обработки территории Шуйского муниципального района (Закупка товаров, работ и услуг для обеспечения государственных (муниципальных) нужд)</t>
  </si>
  <si>
    <t>08 5 01 01000</t>
  </si>
  <si>
    <t>Содержание и ремонт пешеходного перехода через р.Теза в с.Зеленый Бор и текущий ремонт пешеходного перехода через р. Себирянка в районе д. Зименки (Закупка товаров, работ и услуг для обеспечения государственных (муниципальных) нужд)</t>
  </si>
  <si>
    <t>Содержание и ремонт пешеходного перехода через р.Теза в с.Зеленый Бор и текущий ремонт пешеходного перехода черезр. Себирянка в районе д. Зименки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</si>
</sst>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 numFmtId="185" formatCode="_-* #,##0.000_р_._-;\-* #,##0.000_р_._-;_-* &quot;-&quot;??_р_._-;_-@_-"/>
  </numFmts>
  <fonts count="65">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i/>
      <sz val="10"/>
      <name val="Arial"/>
      <family val="2"/>
    </font>
    <font>
      <b/>
      <i/>
      <sz val="10"/>
      <name val="Times New Roman"/>
      <family val="1"/>
    </font>
    <font>
      <b/>
      <i/>
      <sz val="10"/>
      <name val="Arial"/>
      <family val="2"/>
    </font>
    <font>
      <u val="single"/>
      <sz val="10"/>
      <name val="Arial"/>
      <family val="2"/>
    </font>
    <font>
      <b/>
      <sz val="12"/>
      <name val="Arial"/>
      <family val="2"/>
    </font>
    <font>
      <sz val="14"/>
      <name val="Times New Roman"/>
      <family val="1"/>
    </font>
    <font>
      <b/>
      <sz val="14"/>
      <name val="Times New Roman"/>
      <family val="1"/>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13"/>
        <bgColor indexed="64"/>
      </patternFill>
    </fill>
    <fill>
      <patternFill patternType="solid">
        <fgColor indexed="65"/>
        <bgColor indexed="64"/>
      </patternFill>
    </fill>
    <fill>
      <patternFill patternType="solid">
        <fgColor rgb="FFFDE9D9"/>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ABF8F"/>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medium"/>
      <top>
        <color indexed="63"/>
      </top>
      <bottom>
        <color indexed="63"/>
      </bottom>
    </border>
    <border>
      <left>
        <color indexed="63"/>
      </left>
      <right style="medium"/>
      <top style="medium"/>
      <bottom style="medium"/>
    </border>
    <border>
      <left style="medium"/>
      <right style="thin"/>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color indexed="63"/>
      </right>
      <top style="medium"/>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medium"/>
      <right style="medium"/>
      <top style="medium"/>
      <bottom>
        <color indexed="63"/>
      </bottom>
    </border>
    <border>
      <left style="medium"/>
      <right style="medium"/>
      <top style="medium"/>
      <bottom style="thin"/>
    </border>
    <border>
      <left style="thin"/>
      <right style="medium"/>
      <top style="thin"/>
      <bottom style="thin"/>
    </border>
    <border>
      <left style="medium"/>
      <right style="thin"/>
      <top style="thin"/>
      <bottom style="thin"/>
    </border>
    <border>
      <left style="thin"/>
      <right style="thin"/>
      <top>
        <color indexed="63"/>
      </top>
      <bottom>
        <color indexed="63"/>
      </bottom>
    </border>
    <border>
      <left style="medium"/>
      <right style="thin"/>
      <top style="thin"/>
      <bottom>
        <color indexed="63"/>
      </bottom>
    </border>
    <border>
      <left>
        <color indexed="63"/>
      </left>
      <right>
        <color indexed="63"/>
      </right>
      <top>
        <color indexed="63"/>
      </top>
      <bottom style="medium"/>
    </border>
    <border>
      <left style="medium">
        <color indexed="8"/>
      </left>
      <right style="medium">
        <color indexed="8"/>
      </right>
      <top style="medium">
        <color indexed="8"/>
      </top>
      <bottom>
        <color indexed="63"/>
      </bottom>
    </border>
    <border>
      <left style="thin"/>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medium"/>
      <top style="medium">
        <color indexed="8"/>
      </top>
      <bottom style="medium">
        <color indexed="8"/>
      </bottom>
    </border>
    <border>
      <left style="medium">
        <color indexed="8"/>
      </left>
      <right style="medium">
        <color indexed="8"/>
      </right>
      <top style="medium">
        <color indexed="8"/>
      </top>
      <bottom style="medium"/>
    </border>
    <border>
      <left style="thin"/>
      <right style="thin"/>
      <top>
        <color indexed="63"/>
      </top>
      <bottom style="thin"/>
    </border>
    <border>
      <left style="medium">
        <color indexed="8"/>
      </left>
      <right style="medium">
        <color indexed="8"/>
      </right>
      <top>
        <color indexed="63"/>
      </top>
      <bottom style="medium">
        <color indexed="8"/>
      </bottom>
    </border>
    <border>
      <left>
        <color indexed="63"/>
      </left>
      <right style="medium"/>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0" fillId="0" borderId="0">
      <alignment/>
      <protection/>
    </xf>
    <xf numFmtId="0" fontId="10" fillId="0" borderId="0">
      <alignment/>
      <protection/>
    </xf>
    <xf numFmtId="0" fontId="3"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1" fillId="0" borderId="0">
      <alignment/>
      <protection/>
    </xf>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60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6" fillId="0" borderId="0" xfId="0" applyFont="1" applyAlignment="1">
      <alignment horizontal="center"/>
    </xf>
    <xf numFmtId="0" fontId="1" fillId="0" borderId="0" xfId="0" applyFont="1" applyAlignment="1">
      <alignment/>
    </xf>
    <xf numFmtId="0" fontId="7"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0" xfId="0" applyFont="1" applyBorder="1" applyAlignment="1">
      <alignment horizontal="center" vertical="top" wrapText="1"/>
    </xf>
    <xf numFmtId="49" fontId="8" fillId="0" borderId="10" xfId="0" applyNumberFormat="1" applyFont="1" applyBorder="1" applyAlignment="1">
      <alignment horizontal="center" vertical="top" wrapText="1"/>
    </xf>
    <xf numFmtId="49" fontId="8" fillId="0" borderId="12" xfId="0" applyNumberFormat="1" applyFont="1" applyBorder="1" applyAlignment="1">
      <alignment horizontal="center" vertical="top" wrapText="1"/>
    </xf>
    <xf numFmtId="0" fontId="5" fillId="0" borderId="0" xfId="0" applyFont="1" applyAlignment="1">
      <alignment/>
    </xf>
    <xf numFmtId="0" fontId="8" fillId="0" borderId="12" xfId="0" applyFont="1" applyBorder="1" applyAlignment="1">
      <alignment vertical="top" wrapText="1"/>
    </xf>
    <xf numFmtId="0" fontId="8" fillId="33" borderId="10" xfId="0" applyFont="1" applyFill="1" applyBorder="1" applyAlignment="1">
      <alignment vertical="top" wrapText="1"/>
    </xf>
    <xf numFmtId="49" fontId="8" fillId="33" borderId="10" xfId="0" applyNumberFormat="1" applyFont="1" applyFill="1" applyBorder="1" applyAlignment="1">
      <alignment horizontal="center" vertical="top" wrapText="1"/>
    </xf>
    <xf numFmtId="0" fontId="8" fillId="0" borderId="10" xfId="0" applyFont="1" applyBorder="1" applyAlignment="1">
      <alignment vertical="top" wrapText="1"/>
    </xf>
    <xf numFmtId="0" fontId="0" fillId="0" borderId="0" xfId="0" applyBorder="1" applyAlignment="1">
      <alignment/>
    </xf>
    <xf numFmtId="0" fontId="13" fillId="0" borderId="0" xfId="0" applyFont="1" applyAlignment="1">
      <alignment horizontal="left"/>
    </xf>
    <xf numFmtId="0" fontId="14" fillId="0" borderId="0" xfId="0" applyFont="1" applyAlignment="1">
      <alignment vertical="center"/>
    </xf>
    <xf numFmtId="0" fontId="12" fillId="0" borderId="0" xfId="0" applyFont="1" applyAlignment="1">
      <alignment/>
    </xf>
    <xf numFmtId="49" fontId="8" fillId="33" borderId="13"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3"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12" xfId="0" applyFont="1" applyBorder="1" applyAlignment="1">
      <alignment wrapText="1"/>
    </xf>
    <xf numFmtId="0" fontId="8" fillId="0" borderId="12" xfId="53" applyFont="1" applyBorder="1" applyAlignment="1">
      <alignment wrapText="1"/>
      <protection/>
    </xf>
    <xf numFmtId="0" fontId="8" fillId="0" borderId="12" xfId="53" applyFont="1" applyBorder="1" applyAlignment="1">
      <alignment horizontal="center" vertical="center" wrapText="1"/>
      <protection/>
    </xf>
    <xf numFmtId="0" fontId="8" fillId="0" borderId="14" xfId="53" applyFont="1" applyFill="1" applyBorder="1" applyAlignment="1">
      <alignment horizontal="left" vertical="top" wrapText="1"/>
      <protection/>
    </xf>
    <xf numFmtId="0" fontId="6" fillId="33" borderId="13" xfId="54" applyFont="1" applyFill="1" applyBorder="1" applyAlignment="1">
      <alignment horizontal="center" vertical="top" wrapText="1"/>
      <protection/>
    </xf>
    <xf numFmtId="49" fontId="6" fillId="33" borderId="13" xfId="54" applyNumberFormat="1" applyFont="1" applyFill="1" applyBorder="1" applyAlignment="1">
      <alignment horizontal="center" vertical="top" wrapText="1"/>
      <protection/>
    </xf>
    <xf numFmtId="0" fontId="15" fillId="0" borderId="0" xfId="0" applyFont="1" applyAlignment="1">
      <alignment horizontal="right"/>
    </xf>
    <xf numFmtId="0" fontId="8" fillId="0" borderId="0" xfId="0" applyFont="1" applyAlignment="1">
      <alignment/>
    </xf>
    <xf numFmtId="0" fontId="8" fillId="0" borderId="12" xfId="0" applyFont="1" applyBorder="1" applyAlignment="1">
      <alignment horizontal="center"/>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8" fillId="0" borderId="0" xfId="0" applyFont="1" applyAlignment="1">
      <alignment horizontal="right"/>
    </xf>
    <xf numFmtId="0" fontId="10" fillId="0" borderId="0" xfId="0" applyFont="1" applyAlignment="1">
      <alignment/>
    </xf>
    <xf numFmtId="0" fontId="8" fillId="0" borderId="0" xfId="0" applyFont="1" applyAlignment="1">
      <alignment/>
    </xf>
    <xf numFmtId="49" fontId="18" fillId="0" borderId="12" xfId="0" applyNumberFormat="1" applyFont="1" applyBorder="1" applyAlignment="1">
      <alignment horizontal="center"/>
    </xf>
    <xf numFmtId="0" fontId="8" fillId="0" borderId="12" xfId="0" applyFont="1" applyBorder="1" applyAlignment="1">
      <alignment/>
    </xf>
    <xf numFmtId="49" fontId="8" fillId="0" borderId="12" xfId="0" applyNumberFormat="1" applyFont="1" applyBorder="1" applyAlignment="1">
      <alignment horizontal="center"/>
    </xf>
    <xf numFmtId="180" fontId="8" fillId="0" borderId="12" xfId="0" applyNumberFormat="1" applyFont="1" applyBorder="1" applyAlignment="1">
      <alignment/>
    </xf>
    <xf numFmtId="0" fontId="9" fillId="0" borderId="14" xfId="0" applyFont="1" applyBorder="1" applyAlignment="1">
      <alignment horizontal="justify" wrapText="1"/>
    </xf>
    <xf numFmtId="0" fontId="9" fillId="0" borderId="14" xfId="0" applyFont="1" applyBorder="1" applyAlignment="1">
      <alignment horizontal="justify" vertical="top" wrapText="1"/>
    </xf>
    <xf numFmtId="0" fontId="9" fillId="0" borderId="15" xfId="0" applyFont="1" applyBorder="1" applyAlignment="1">
      <alignment horizontal="justify" vertical="top" wrapText="1"/>
    </xf>
    <xf numFmtId="0" fontId="9" fillId="0" borderId="15" xfId="0" applyFont="1" applyBorder="1" applyAlignment="1">
      <alignment horizontal="justify" wrapText="1"/>
    </xf>
    <xf numFmtId="0" fontId="17" fillId="33" borderId="14" xfId="0" applyFont="1" applyFill="1" applyBorder="1" applyAlignment="1">
      <alignment horizontal="left" vertical="top" wrapText="1"/>
    </xf>
    <xf numFmtId="0" fontId="19" fillId="0" borderId="0" xfId="0" applyFont="1" applyAlignment="1">
      <alignment/>
    </xf>
    <xf numFmtId="0" fontId="20" fillId="0" borderId="0" xfId="0" applyFont="1" applyAlignment="1">
      <alignment horizontal="right"/>
    </xf>
    <xf numFmtId="0" fontId="20" fillId="0" borderId="0" xfId="0" applyFont="1" applyAlignment="1">
      <alignment/>
    </xf>
    <xf numFmtId="0" fontId="12" fillId="0" borderId="0" xfId="0" applyFont="1" applyAlignment="1">
      <alignment horizontal="left" wrapText="1"/>
    </xf>
    <xf numFmtId="0" fontId="12" fillId="0" borderId="0" xfId="0" applyFont="1" applyAlignment="1">
      <alignment wrapText="1"/>
    </xf>
    <xf numFmtId="0" fontId="12" fillId="0" borderId="16" xfId="0" applyFont="1" applyBorder="1" applyAlignment="1">
      <alignment horizontal="justify" vertical="top" wrapText="1"/>
    </xf>
    <xf numFmtId="0" fontId="13" fillId="0" borderId="0" xfId="0" applyFont="1" applyAlignment="1">
      <alignment horizontal="center"/>
    </xf>
    <xf numFmtId="49" fontId="8" fillId="33" borderId="17" xfId="0" applyNumberFormat="1" applyFont="1" applyFill="1" applyBorder="1" applyAlignment="1">
      <alignment horizontal="center" vertical="top" wrapText="1"/>
    </xf>
    <xf numFmtId="49" fontId="8" fillId="33" borderId="12" xfId="0" applyNumberFormat="1" applyFont="1" applyFill="1" applyBorder="1" applyAlignment="1">
      <alignment horizontal="center" vertical="top" wrapText="1"/>
    </xf>
    <xf numFmtId="0" fontId="8" fillId="33" borderId="12" xfId="0" applyFont="1" applyFill="1" applyBorder="1" applyAlignment="1">
      <alignment vertical="top" wrapText="1"/>
    </xf>
    <xf numFmtId="0" fontId="8" fillId="33"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vertical="top" wrapText="1"/>
    </xf>
    <xf numFmtId="0" fontId="8" fillId="0" borderId="13" xfId="0" applyFont="1" applyFill="1" applyBorder="1" applyAlignment="1">
      <alignment vertical="top" wrapText="1"/>
    </xf>
    <xf numFmtId="0" fontId="8" fillId="0" borderId="13" xfId="54" applyFont="1" applyFill="1" applyBorder="1" applyAlignment="1">
      <alignment horizontal="center" vertical="center" wrapText="1"/>
      <protection/>
    </xf>
    <xf numFmtId="49" fontId="8" fillId="0" borderId="13" xfId="54" applyNumberFormat="1" applyFont="1" applyFill="1" applyBorder="1" applyAlignment="1">
      <alignment horizontal="center" vertical="center" wrapText="1"/>
      <protection/>
    </xf>
    <xf numFmtId="0" fontId="8" fillId="0" borderId="13" xfId="0" applyFont="1" applyBorder="1" applyAlignment="1">
      <alignment wrapText="1"/>
    </xf>
    <xf numFmtId="0" fontId="6" fillId="0" borderId="18" xfId="0" applyFont="1" applyBorder="1" applyAlignment="1">
      <alignment horizontal="center" vertical="top" wrapText="1"/>
    </xf>
    <xf numFmtId="0" fontId="6" fillId="0" borderId="12" xfId="0" applyFont="1" applyBorder="1" applyAlignment="1">
      <alignment horizontal="center" vertical="top" wrapText="1"/>
    </xf>
    <xf numFmtId="0" fontId="9" fillId="0" borderId="0" xfId="0" applyFont="1" applyBorder="1" applyAlignment="1">
      <alignment horizontal="justify" vertical="top" wrapText="1"/>
    </xf>
    <xf numFmtId="0" fontId="0" fillId="0" borderId="0" xfId="0" applyBorder="1" applyAlignment="1">
      <alignment horizontal="center"/>
    </xf>
    <xf numFmtId="0" fontId="8" fillId="0" borderId="0" xfId="0" applyFont="1" applyBorder="1" applyAlignment="1">
      <alignment vertical="top" wrapText="1"/>
    </xf>
    <xf numFmtId="0" fontId="6" fillId="0" borderId="0" xfId="0" applyFont="1" applyBorder="1" applyAlignment="1">
      <alignment vertical="top"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justify" vertical="top" wrapText="1"/>
    </xf>
    <xf numFmtId="0" fontId="6" fillId="0" borderId="0" xfId="0" applyFont="1" applyBorder="1" applyAlignment="1">
      <alignment horizontal="justify" vertical="top" wrapText="1"/>
    </xf>
    <xf numFmtId="0" fontId="22" fillId="0" borderId="0" xfId="0" applyFont="1" applyAlignment="1">
      <alignment/>
    </xf>
    <xf numFmtId="0" fontId="8" fillId="0" borderId="11" xfId="0" applyFont="1" applyBorder="1" applyAlignment="1">
      <alignment horizontal="justify" vertical="top" wrapText="1"/>
    </xf>
    <xf numFmtId="0" fontId="8" fillId="0" borderId="12" xfId="53" applyFont="1" applyFill="1" applyBorder="1" applyAlignment="1">
      <alignment horizontal="center" vertical="center" wrapText="1"/>
      <protection/>
    </xf>
    <xf numFmtId="4" fontId="8" fillId="0" borderId="13" xfId="0" applyNumberFormat="1" applyFont="1" applyBorder="1" applyAlignment="1">
      <alignment horizontal="center" vertical="center" wrapText="1"/>
    </xf>
    <xf numFmtId="0" fontId="8" fillId="0" borderId="13" xfId="0"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4" fontId="8" fillId="33" borderId="13" xfId="0" applyNumberFormat="1" applyFont="1" applyFill="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xf>
    <xf numFmtId="0" fontId="9" fillId="0" borderId="12" xfId="0" applyFont="1" applyBorder="1" applyAlignment="1">
      <alignment vertical="top" wrapText="1"/>
    </xf>
    <xf numFmtId="0" fontId="8" fillId="0" borderId="19" xfId="0" applyFont="1" applyBorder="1" applyAlignment="1">
      <alignment/>
    </xf>
    <xf numFmtId="0" fontId="8" fillId="0" borderId="19" xfId="0" applyFont="1" applyBorder="1" applyAlignment="1">
      <alignment horizontal="center" vertical="center"/>
    </xf>
    <xf numFmtId="0" fontId="8" fillId="0" borderId="11" xfId="0" applyFont="1" applyBorder="1" applyAlignment="1">
      <alignment horizontal="center" vertical="center" wrapText="1"/>
    </xf>
    <xf numFmtId="179" fontId="12" fillId="0" borderId="20" xfId="0" applyNumberFormat="1" applyFont="1" applyBorder="1" applyAlignment="1">
      <alignment horizontal="center" wrapText="1"/>
    </xf>
    <xf numFmtId="0" fontId="12" fillId="0" borderId="21" xfId="0" applyFont="1" applyBorder="1" applyAlignment="1">
      <alignment horizontal="center" vertical="top" wrapText="1"/>
    </xf>
    <xf numFmtId="0" fontId="12" fillId="0" borderId="21" xfId="0" applyFont="1" applyBorder="1" applyAlignment="1">
      <alignment horizontal="center"/>
    </xf>
    <xf numFmtId="179" fontId="12" fillId="0" borderId="21" xfId="0" applyNumberFormat="1" applyFont="1" applyBorder="1" applyAlignment="1">
      <alignment horizontal="center" wrapText="1"/>
    </xf>
    <xf numFmtId="179" fontId="13" fillId="0" borderId="21" xfId="0" applyNumberFormat="1" applyFont="1" applyBorder="1" applyAlignment="1">
      <alignment horizontal="center" wrapText="1"/>
    </xf>
    <xf numFmtId="179" fontId="12" fillId="0" borderId="12" xfId="0" applyNumberFormat="1" applyFont="1" applyBorder="1" applyAlignment="1">
      <alignment horizontal="center"/>
    </xf>
    <xf numFmtId="0" fontId="9" fillId="0" borderId="22" xfId="0" applyFont="1" applyBorder="1" applyAlignment="1">
      <alignment horizontal="justify" wrapText="1"/>
    </xf>
    <xf numFmtId="2" fontId="9" fillId="0" borderId="23" xfId="0" applyNumberFormat="1" applyFont="1" applyBorder="1" applyAlignment="1">
      <alignment horizontal="center" vertical="top" wrapText="1"/>
    </xf>
    <xf numFmtId="2" fontId="9" fillId="0" borderId="24" xfId="0" applyNumberFormat="1" applyFont="1" applyBorder="1" applyAlignment="1">
      <alignment horizontal="center" vertical="top" wrapText="1"/>
    </xf>
    <xf numFmtId="2" fontId="9" fillId="0" borderId="17" xfId="0" applyNumberFormat="1" applyFont="1" applyBorder="1" applyAlignment="1">
      <alignment horizontal="center" vertical="top" wrapText="1"/>
    </xf>
    <xf numFmtId="2" fontId="9" fillId="0" borderId="12"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9" fillId="0" borderId="25" xfId="0" applyFont="1" applyBorder="1" applyAlignment="1">
      <alignment horizontal="center" vertical="top" wrapText="1"/>
    </xf>
    <xf numFmtId="2" fontId="17" fillId="33" borderId="12" xfId="0" applyNumberFormat="1" applyFont="1" applyFill="1" applyBorder="1" applyAlignment="1">
      <alignment horizontal="center" vertical="top" wrapText="1"/>
    </xf>
    <xf numFmtId="49" fontId="8" fillId="34" borderId="13" xfId="0" applyNumberFormat="1" applyFont="1" applyFill="1" applyBorder="1" applyAlignment="1">
      <alignment horizontal="center" vertical="center" wrapText="1"/>
    </xf>
    <xf numFmtId="0" fontId="8" fillId="34" borderId="13" xfId="0" applyFont="1" applyFill="1" applyBorder="1" applyAlignment="1">
      <alignment horizontal="center" vertical="center" wrapText="1"/>
    </xf>
    <xf numFmtId="4" fontId="8" fillId="34" borderId="13" xfId="0" applyNumberFormat="1" applyFont="1" applyFill="1" applyBorder="1" applyAlignment="1">
      <alignment horizontal="center" vertical="center" wrapText="1"/>
    </xf>
    <xf numFmtId="0" fontId="0" fillId="0" borderId="0" xfId="0" applyFont="1" applyAlignment="1">
      <alignment/>
    </xf>
    <xf numFmtId="49" fontId="8" fillId="0" borderId="13" xfId="0" applyNumberFormat="1" applyFont="1" applyFill="1" applyBorder="1" applyAlignment="1">
      <alignment horizontal="left" vertical="center" wrapText="1"/>
    </xf>
    <xf numFmtId="0" fontId="8" fillId="0" borderId="12" xfId="0" applyFont="1" applyBorder="1" applyAlignment="1">
      <alignment horizontal="left" vertical="top" wrapText="1"/>
    </xf>
    <xf numFmtId="0" fontId="8" fillId="34" borderId="13" xfId="0" applyFont="1" applyFill="1" applyBorder="1" applyAlignment="1">
      <alignment wrapText="1"/>
    </xf>
    <xf numFmtId="0" fontId="12" fillId="0" borderId="12" xfId="0" applyFont="1" applyBorder="1" applyAlignment="1">
      <alignment horizontal="center" vertical="top" wrapText="1"/>
    </xf>
    <xf numFmtId="49" fontId="8" fillId="0" borderId="17" xfId="0" applyNumberFormat="1" applyFont="1" applyBorder="1" applyAlignment="1">
      <alignment horizontal="center" vertical="top" wrapText="1"/>
    </xf>
    <xf numFmtId="0" fontId="12" fillId="0" borderId="12" xfId="0" applyFont="1" applyBorder="1" applyAlignment="1">
      <alignment vertical="top" wrapText="1"/>
    </xf>
    <xf numFmtId="181" fontId="12" fillId="0" borderId="21" xfId="0" applyNumberFormat="1" applyFont="1" applyBorder="1" applyAlignment="1">
      <alignment horizontal="center" vertical="top" wrapText="1"/>
    </xf>
    <xf numFmtId="49" fontId="8" fillId="35" borderId="13" xfId="0" applyNumberFormat="1" applyFont="1" applyFill="1" applyBorder="1" applyAlignment="1">
      <alignment horizontal="center" vertical="center" wrapText="1"/>
    </xf>
    <xf numFmtId="0" fontId="8" fillId="35" borderId="13" xfId="0" applyFont="1" applyFill="1" applyBorder="1" applyAlignment="1">
      <alignment horizontal="center" vertical="center" wrapText="1"/>
    </xf>
    <xf numFmtId="4" fontId="8" fillId="35" borderId="13"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8" fillId="0" borderId="0" xfId="0" applyFont="1" applyAlignment="1">
      <alignment horizontal="right" vertical="center"/>
    </xf>
    <xf numFmtId="49" fontId="6" fillId="34" borderId="13" xfId="0" applyNumberFormat="1" applyFont="1" applyFill="1" applyBorder="1" applyAlignment="1">
      <alignment horizontal="center" vertical="center" wrapText="1"/>
    </xf>
    <xf numFmtId="0" fontId="8" fillId="0" borderId="26" xfId="53" applyFont="1" applyBorder="1" applyAlignment="1">
      <alignment horizontal="center" vertical="center" wrapText="1"/>
      <protection/>
    </xf>
    <xf numFmtId="0" fontId="8" fillId="0" borderId="26" xfId="53" applyFont="1" applyBorder="1" applyAlignment="1">
      <alignment wrapText="1"/>
      <protection/>
    </xf>
    <xf numFmtId="0" fontId="6" fillId="34" borderId="13" xfId="0" applyFont="1" applyFill="1" applyBorder="1" applyAlignment="1">
      <alignment vertical="top" wrapText="1"/>
    </xf>
    <xf numFmtId="0" fontId="8" fillId="33" borderId="13" xfId="0" applyFont="1" applyFill="1" applyBorder="1" applyAlignment="1">
      <alignment vertical="top" wrapText="1"/>
    </xf>
    <xf numFmtId="0" fontId="8" fillId="0" borderId="13" xfId="0" applyFont="1" applyFill="1" applyBorder="1" applyAlignment="1">
      <alignment wrapText="1"/>
    </xf>
    <xf numFmtId="4" fontId="8" fillId="0" borderId="13" xfId="54" applyNumberFormat="1" applyFont="1" applyFill="1" applyBorder="1" applyAlignment="1">
      <alignment horizontal="center" vertical="center" wrapText="1"/>
      <protection/>
    </xf>
    <xf numFmtId="4" fontId="6" fillId="34" borderId="13" xfId="0" applyNumberFormat="1" applyFont="1" applyFill="1" applyBorder="1" applyAlignment="1">
      <alignment horizontal="center" vertical="center" wrapText="1"/>
    </xf>
    <xf numFmtId="0" fontId="8" fillId="0" borderId="13" xfId="0" applyFont="1" applyBorder="1" applyAlignment="1">
      <alignment vertical="center" wrapText="1"/>
    </xf>
    <xf numFmtId="0" fontId="8" fillId="35" borderId="12" xfId="0" applyFont="1" applyFill="1" applyBorder="1" applyAlignment="1">
      <alignment vertical="top" wrapText="1"/>
    </xf>
    <xf numFmtId="0" fontId="6" fillId="0" borderId="12" xfId="0" applyFont="1" applyBorder="1" applyAlignment="1">
      <alignment horizontal="center" vertical="center" wrapText="1"/>
    </xf>
    <xf numFmtId="0" fontId="8" fillId="0" borderId="13" xfId="0" applyFont="1" applyBorder="1" applyAlignment="1">
      <alignment horizontal="left" vertical="center" wrapText="1"/>
    </xf>
    <xf numFmtId="171" fontId="8" fillId="0" borderId="13" xfId="63" applyFont="1" applyFill="1" applyBorder="1" applyAlignment="1">
      <alignment horizontal="center" vertical="center" wrapText="1"/>
    </xf>
    <xf numFmtId="0" fontId="0" fillId="0" borderId="0" xfId="0" applyFont="1" applyBorder="1" applyAlignment="1">
      <alignment/>
    </xf>
    <xf numFmtId="171" fontId="8" fillId="0" borderId="13" xfId="63" applyFont="1" applyBorder="1" applyAlignment="1">
      <alignment horizontal="center" vertical="center" wrapText="1"/>
    </xf>
    <xf numFmtId="49" fontId="8" fillId="0" borderId="12" xfId="0" applyNumberFormat="1" applyFont="1" applyBorder="1" applyAlignment="1">
      <alignment horizontal="center" vertical="center" wrapText="1"/>
    </xf>
    <xf numFmtId="0" fontId="6" fillId="0" borderId="0" xfId="0" applyFont="1" applyAlignment="1">
      <alignment horizontal="center" vertical="center"/>
    </xf>
    <xf numFmtId="0" fontId="8" fillId="0" borderId="12" xfId="0" applyFont="1" applyBorder="1" applyAlignment="1">
      <alignment horizontal="center" vertical="center" wrapText="1"/>
    </xf>
    <xf numFmtId="0" fontId="8" fillId="35" borderId="12" xfId="0" applyFont="1" applyFill="1" applyBorder="1" applyAlignment="1">
      <alignment horizontal="center" vertical="center" wrapText="1"/>
    </xf>
    <xf numFmtId="0" fontId="7"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49" fontId="8" fillId="35" borderId="12" xfId="0" applyNumberFormat="1" applyFont="1" applyFill="1" applyBorder="1" applyAlignment="1">
      <alignment horizontal="center" vertical="center" wrapText="1"/>
    </xf>
    <xf numFmtId="0" fontId="10" fillId="0" borderId="0" xfId="53" applyFont="1">
      <alignment/>
      <protection/>
    </xf>
    <xf numFmtId="0" fontId="8" fillId="0" borderId="13" xfId="53" applyFont="1" applyBorder="1" applyAlignment="1">
      <alignment horizontal="center" vertical="center" wrapText="1"/>
      <protection/>
    </xf>
    <xf numFmtId="4" fontId="8" fillId="0" borderId="13" xfId="53" applyNumberFormat="1" applyFont="1" applyFill="1" applyBorder="1" applyAlignment="1">
      <alignment horizontal="center" vertical="top" wrapText="1"/>
      <protection/>
    </xf>
    <xf numFmtId="0" fontId="8" fillId="35" borderId="12" xfId="53" applyFont="1" applyFill="1" applyBorder="1" applyAlignment="1">
      <alignment wrapText="1"/>
      <protection/>
    </xf>
    <xf numFmtId="0" fontId="8" fillId="0" borderId="12" xfId="0" applyFont="1" applyBorder="1" applyAlignment="1">
      <alignment horizontal="justify" vertical="top" wrapText="1"/>
    </xf>
    <xf numFmtId="0" fontId="0" fillId="0" borderId="0" xfId="0" applyFont="1" applyAlignment="1">
      <alignment vertical="center"/>
    </xf>
    <xf numFmtId="4" fontId="0" fillId="0" borderId="0" xfId="0" applyNumberFormat="1" applyFont="1" applyAlignment="1">
      <alignment/>
    </xf>
    <xf numFmtId="0" fontId="0" fillId="35" borderId="0" xfId="0" applyFont="1" applyFill="1" applyAlignment="1">
      <alignment/>
    </xf>
    <xf numFmtId="0" fontId="8" fillId="33" borderId="27" xfId="0" applyFont="1" applyFill="1" applyBorder="1" applyAlignment="1">
      <alignment vertical="top" wrapText="1"/>
    </xf>
    <xf numFmtId="4" fontId="6" fillId="36" borderId="13" xfId="0" applyNumberFormat="1" applyFont="1" applyFill="1" applyBorder="1" applyAlignment="1">
      <alignment horizontal="center" vertical="center" wrapText="1"/>
    </xf>
    <xf numFmtId="0" fontId="6" fillId="33" borderId="13" xfId="0" applyFont="1" applyFill="1" applyBorder="1" applyAlignment="1">
      <alignment wrapText="1"/>
    </xf>
    <xf numFmtId="0" fontId="7" fillId="0" borderId="13" xfId="0" applyFont="1" applyBorder="1" applyAlignment="1">
      <alignment horizontal="center" vertical="center" wrapText="1"/>
    </xf>
    <xf numFmtId="0" fontId="8" fillId="0" borderId="13" xfId="0" applyFont="1" applyBorder="1" applyAlignment="1">
      <alignment horizontal="center" vertical="top" wrapText="1"/>
    </xf>
    <xf numFmtId="0" fontId="6" fillId="33" borderId="13" xfId="0" applyFont="1" applyFill="1" applyBorder="1" applyAlignment="1">
      <alignment horizontal="center" vertical="center" wrapText="1"/>
    </xf>
    <xf numFmtId="0" fontId="8" fillId="34" borderId="13" xfId="53" applyFont="1" applyFill="1" applyBorder="1" applyAlignment="1">
      <alignment vertical="top" wrapText="1"/>
      <protection/>
    </xf>
    <xf numFmtId="0" fontId="8" fillId="34" borderId="13" xfId="0" applyFont="1" applyFill="1" applyBorder="1" applyAlignment="1">
      <alignment vertical="top" wrapText="1"/>
    </xf>
    <xf numFmtId="0" fontId="8" fillId="0" borderId="13" xfId="53" applyFont="1" applyBorder="1" applyAlignment="1">
      <alignment vertical="top" wrapText="1"/>
      <protection/>
    </xf>
    <xf numFmtId="0" fontId="8" fillId="35" borderId="13" xfId="0" applyFont="1" applyFill="1" applyBorder="1" applyAlignment="1">
      <alignment vertical="top" wrapText="1"/>
    </xf>
    <xf numFmtId="0" fontId="8" fillId="35" borderId="13" xfId="0" applyFont="1" applyFill="1" applyBorder="1" applyAlignment="1">
      <alignment wrapText="1"/>
    </xf>
    <xf numFmtId="4" fontId="8" fillId="0" borderId="13" xfId="0" applyNumberFormat="1" applyFont="1" applyFill="1" applyBorder="1" applyAlignment="1">
      <alignment wrapText="1"/>
    </xf>
    <xf numFmtId="0" fontId="8" fillId="34" borderId="13" xfId="0" applyFont="1" applyFill="1" applyBorder="1" applyAlignment="1">
      <alignment vertical="center" wrapText="1"/>
    </xf>
    <xf numFmtId="0" fontId="6" fillId="34" borderId="13" xfId="0" applyFont="1" applyFill="1" applyBorder="1" applyAlignment="1">
      <alignment wrapText="1"/>
    </xf>
    <xf numFmtId="0" fontId="6" fillId="33" borderId="13" xfId="0" applyFont="1" applyFill="1" applyBorder="1" applyAlignment="1">
      <alignment/>
    </xf>
    <xf numFmtId="4" fontId="6" fillId="33" borderId="13" xfId="0" applyNumberFormat="1" applyFont="1" applyFill="1" applyBorder="1" applyAlignment="1">
      <alignment/>
    </xf>
    <xf numFmtId="49" fontId="7" fillId="0" borderId="13"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12" fillId="0" borderId="13" xfId="0" applyNumberFormat="1" applyFont="1" applyBorder="1" applyAlignment="1">
      <alignment horizontal="center" vertical="center"/>
    </xf>
    <xf numFmtId="49" fontId="6" fillId="36" borderId="13" xfId="0" applyNumberFormat="1" applyFont="1" applyFill="1" applyBorder="1" applyAlignment="1">
      <alignment horizontal="left" vertical="center" wrapText="1"/>
    </xf>
    <xf numFmtId="49" fontId="6" fillId="36" borderId="13" xfId="0" applyNumberFormat="1" applyFont="1" applyFill="1" applyBorder="1" applyAlignment="1">
      <alignment horizontal="center" vertical="center" wrapText="1"/>
    </xf>
    <xf numFmtId="49" fontId="6" fillId="33" borderId="13" xfId="0" applyNumberFormat="1" applyFont="1" applyFill="1" applyBorder="1" applyAlignment="1">
      <alignment horizontal="left" vertical="center" wrapText="1"/>
    </xf>
    <xf numFmtId="4" fontId="8" fillId="35" borderId="13" xfId="0" applyNumberFormat="1" applyFont="1" applyFill="1" applyBorder="1" applyAlignment="1">
      <alignment horizontal="center" vertical="center"/>
    </xf>
    <xf numFmtId="0" fontId="6" fillId="33" borderId="13" xfId="54" applyFont="1" applyFill="1" applyBorder="1" applyAlignment="1">
      <alignment vertical="top" wrapText="1"/>
      <protection/>
    </xf>
    <xf numFmtId="4" fontId="8" fillId="0" borderId="13" xfId="0" applyNumberFormat="1" applyFont="1" applyFill="1" applyBorder="1" applyAlignment="1">
      <alignment horizontal="center" vertical="center"/>
    </xf>
    <xf numFmtId="4" fontId="6" fillId="34" borderId="13" xfId="0" applyNumberFormat="1" applyFont="1" applyFill="1" applyBorder="1" applyAlignment="1">
      <alignment horizontal="center" vertical="center"/>
    </xf>
    <xf numFmtId="49" fontId="21" fillId="33" borderId="13" xfId="0" applyNumberFormat="1" applyFont="1" applyFill="1" applyBorder="1" applyAlignment="1">
      <alignment horizontal="left" vertical="center" wrapText="1"/>
    </xf>
    <xf numFmtId="11" fontId="6" fillId="33" borderId="13" xfId="0" applyNumberFormat="1" applyFont="1" applyFill="1" applyBorder="1" applyAlignment="1">
      <alignment horizontal="left" vertical="center" wrapText="1"/>
    </xf>
    <xf numFmtId="49" fontId="11" fillId="33" borderId="13" xfId="0" applyNumberFormat="1" applyFont="1" applyFill="1" applyBorder="1" applyAlignment="1">
      <alignment horizontal="left" vertical="center" wrapText="1"/>
    </xf>
    <xf numFmtId="171" fontId="8" fillId="35" borderId="13" xfId="63" applyFont="1" applyFill="1" applyBorder="1" applyAlignment="1">
      <alignment horizontal="center" vertical="center" wrapText="1"/>
    </xf>
    <xf numFmtId="0" fontId="8" fillId="35" borderId="13" xfId="54" applyFont="1" applyFill="1" applyBorder="1" applyAlignment="1">
      <alignment horizontal="center" vertical="center" wrapText="1"/>
      <protection/>
    </xf>
    <xf numFmtId="49" fontId="8" fillId="35" borderId="13" xfId="54" applyNumberFormat="1" applyFont="1" applyFill="1" applyBorder="1" applyAlignment="1">
      <alignment horizontal="center" vertical="center" wrapText="1"/>
      <protection/>
    </xf>
    <xf numFmtId="0" fontId="8" fillId="35" borderId="13" xfId="53" applyFont="1" applyFill="1" applyBorder="1" applyAlignment="1">
      <alignment vertical="top" wrapText="1"/>
      <protection/>
    </xf>
    <xf numFmtId="0" fontId="8" fillId="35" borderId="13" xfId="0" applyNumberFormat="1" applyFont="1" applyFill="1" applyBorder="1" applyAlignment="1">
      <alignment horizontal="left" vertical="center" wrapText="1"/>
    </xf>
    <xf numFmtId="4" fontId="8" fillId="35" borderId="13" xfId="54" applyNumberFormat="1" applyFont="1" applyFill="1" applyBorder="1" applyAlignment="1">
      <alignment horizontal="center" vertical="center" wrapText="1"/>
      <protection/>
    </xf>
    <xf numFmtId="4" fontId="6" fillId="33" borderId="13" xfId="54" applyNumberFormat="1" applyFont="1" applyFill="1" applyBorder="1" applyAlignment="1">
      <alignment horizontal="center" vertical="top" wrapText="1"/>
      <protection/>
    </xf>
    <xf numFmtId="171" fontId="8" fillId="35" borderId="13" xfId="63" applyFont="1" applyFill="1" applyBorder="1" applyAlignment="1">
      <alignment horizontal="center" vertical="center"/>
    </xf>
    <xf numFmtId="2" fontId="8" fillId="35" borderId="13" xfId="63" applyNumberFormat="1" applyFont="1" applyFill="1" applyBorder="1" applyAlignment="1">
      <alignment horizontal="center" vertical="center"/>
    </xf>
    <xf numFmtId="4" fontId="11" fillId="33" borderId="13" xfId="0" applyNumberFormat="1" applyFont="1" applyFill="1" applyBorder="1" applyAlignment="1">
      <alignment horizontal="center" vertical="center" wrapText="1"/>
    </xf>
    <xf numFmtId="0" fontId="8" fillId="35" borderId="13" xfId="0" applyFont="1" applyFill="1" applyBorder="1" applyAlignment="1">
      <alignment horizontal="left" vertical="center" wrapText="1"/>
    </xf>
    <xf numFmtId="2" fontId="6" fillId="0" borderId="13" xfId="0" applyNumberFormat="1" applyFont="1" applyBorder="1" applyAlignment="1">
      <alignment horizontal="centerContinuous" vertical="center" wrapText="1"/>
    </xf>
    <xf numFmtId="0" fontId="8" fillId="0" borderId="13" xfId="0" applyFont="1" applyFill="1" applyBorder="1" applyAlignment="1">
      <alignment vertical="center" wrapText="1"/>
    </xf>
    <xf numFmtId="49" fontId="8" fillId="35" borderId="13" xfId="0" applyNumberFormat="1" applyFont="1" applyFill="1" applyBorder="1" applyAlignment="1">
      <alignment horizontal="left" vertical="center" wrapText="1"/>
    </xf>
    <xf numFmtId="0" fontId="8" fillId="0" borderId="13" xfId="53" applyFont="1" applyFill="1" applyBorder="1" applyAlignment="1">
      <alignment vertical="top" wrapText="1"/>
      <protection/>
    </xf>
    <xf numFmtId="0" fontId="8" fillId="35" borderId="13" xfId="0" applyFont="1" applyFill="1" applyBorder="1" applyAlignment="1">
      <alignment vertical="center" wrapText="1"/>
    </xf>
    <xf numFmtId="4" fontId="8" fillId="35" borderId="13" xfId="0" applyNumberFormat="1" applyFont="1" applyFill="1" applyBorder="1" applyAlignment="1">
      <alignment wrapText="1"/>
    </xf>
    <xf numFmtId="0" fontId="8" fillId="0" borderId="22" xfId="53" applyFont="1" applyFill="1" applyBorder="1" applyAlignment="1">
      <alignment horizontal="left" vertical="top" wrapText="1"/>
      <protection/>
    </xf>
    <xf numFmtId="4" fontId="8" fillId="19" borderId="13" xfId="53" applyNumberFormat="1" applyFont="1" applyFill="1" applyBorder="1" applyAlignment="1">
      <alignment horizontal="center" vertical="top" wrapText="1"/>
      <protection/>
    </xf>
    <xf numFmtId="0" fontId="8" fillId="35" borderId="13" xfId="53" applyFont="1" applyFill="1" applyBorder="1" applyAlignment="1">
      <alignment wrapText="1"/>
      <protection/>
    </xf>
    <xf numFmtId="0" fontId="8" fillId="19" borderId="13" xfId="53" applyFont="1" applyFill="1" applyBorder="1" applyAlignment="1">
      <alignment horizontal="left" wrapText="1"/>
      <protection/>
    </xf>
    <xf numFmtId="0" fontId="8" fillId="35" borderId="13" xfId="53" applyFont="1" applyFill="1" applyBorder="1" applyAlignment="1">
      <alignment horizontal="left" wrapText="1"/>
      <protection/>
    </xf>
    <xf numFmtId="0" fontId="8" fillId="37" borderId="13" xfId="0" applyFont="1" applyFill="1" applyBorder="1" applyAlignment="1">
      <alignment vertical="top" wrapText="1"/>
    </xf>
    <xf numFmtId="49" fontId="6" fillId="0" borderId="12" xfId="0" applyNumberFormat="1" applyFont="1" applyBorder="1" applyAlignment="1">
      <alignment horizontal="center" vertical="center"/>
    </xf>
    <xf numFmtId="0" fontId="15" fillId="0" borderId="0" xfId="0" applyFont="1" applyAlignment="1">
      <alignment/>
    </xf>
    <xf numFmtId="0" fontId="8" fillId="0" borderId="0" xfId="0" applyFont="1" applyAlignment="1">
      <alignment vertical="center"/>
    </xf>
    <xf numFmtId="0" fontId="0" fillId="0" borderId="0" xfId="0" applyFont="1" applyAlignment="1">
      <alignment horizontal="left" vertical="center"/>
    </xf>
    <xf numFmtId="0" fontId="6" fillId="0" borderId="12" xfId="0" applyFont="1" applyBorder="1" applyAlignment="1">
      <alignment/>
    </xf>
    <xf numFmtId="49" fontId="6" fillId="0" borderId="12" xfId="0" applyNumberFormat="1" applyFont="1" applyBorder="1" applyAlignment="1">
      <alignment horizontal="center"/>
    </xf>
    <xf numFmtId="0" fontId="6" fillId="0" borderId="12" xfId="0" applyFont="1" applyBorder="1" applyAlignment="1">
      <alignment horizontal="center"/>
    </xf>
    <xf numFmtId="180" fontId="6" fillId="0" borderId="12" xfId="0" applyNumberFormat="1" applyFont="1" applyBorder="1" applyAlignment="1">
      <alignment/>
    </xf>
    <xf numFmtId="179" fontId="6" fillId="0" borderId="12" xfId="0" applyNumberFormat="1" applyFont="1" applyBorder="1" applyAlignment="1">
      <alignment/>
    </xf>
    <xf numFmtId="4" fontId="8" fillId="38" borderId="13" xfId="53" applyNumberFormat="1" applyFont="1" applyFill="1" applyBorder="1" applyAlignment="1">
      <alignment horizontal="center" vertical="top" wrapText="1"/>
      <protection/>
    </xf>
    <xf numFmtId="4" fontId="8" fillId="0" borderId="28" xfId="53" applyNumberFormat="1" applyFont="1" applyFill="1" applyBorder="1" applyAlignment="1">
      <alignment horizontal="center" vertical="top" wrapText="1"/>
      <protection/>
    </xf>
    <xf numFmtId="4" fontId="8" fillId="19" borderId="28" xfId="53" applyNumberFormat="1" applyFont="1" applyFill="1" applyBorder="1" applyAlignment="1">
      <alignment horizontal="center" vertical="top" wrapText="1"/>
      <protection/>
    </xf>
    <xf numFmtId="0" fontId="8" fillId="19" borderId="29" xfId="53" applyFont="1" applyFill="1" applyBorder="1" applyAlignment="1">
      <alignment horizontal="center" vertical="center" wrapText="1"/>
      <protection/>
    </xf>
    <xf numFmtId="0" fontId="8" fillId="0" borderId="29" xfId="53" applyFont="1" applyFill="1" applyBorder="1" applyAlignment="1">
      <alignment horizontal="center" vertical="center" wrapText="1"/>
      <protection/>
    </xf>
    <xf numFmtId="0" fontId="8" fillId="35" borderId="29" xfId="53" applyFont="1" applyFill="1" applyBorder="1" applyAlignment="1">
      <alignment horizontal="center" vertical="center" wrapText="1"/>
      <protection/>
    </xf>
    <xf numFmtId="0" fontId="8" fillId="38" borderId="29" xfId="53" applyFont="1" applyFill="1" applyBorder="1" applyAlignment="1">
      <alignment horizontal="center" vertical="center" wrapText="1"/>
      <protection/>
    </xf>
    <xf numFmtId="4" fontId="8" fillId="38" borderId="28" xfId="53" applyNumberFormat="1" applyFont="1" applyFill="1" applyBorder="1" applyAlignment="1">
      <alignment horizontal="center" vertical="top" wrapText="1"/>
      <protection/>
    </xf>
    <xf numFmtId="171" fontId="23" fillId="0" borderId="0" xfId="63" applyNumberFormat="1" applyFont="1" applyAlignment="1">
      <alignment/>
    </xf>
    <xf numFmtId="0" fontId="23" fillId="0" borderId="0" xfId="0" applyFont="1" applyAlignment="1">
      <alignment/>
    </xf>
    <xf numFmtId="2" fontId="24" fillId="0" borderId="13" xfId="0" applyNumberFormat="1" applyFont="1" applyBorder="1" applyAlignment="1">
      <alignment horizontal="centerContinuous" vertical="center" wrapText="1"/>
    </xf>
    <xf numFmtId="0" fontId="21" fillId="0" borderId="13" xfId="0" applyFont="1" applyBorder="1" applyAlignment="1">
      <alignment horizontal="center" vertical="top" wrapText="1"/>
    </xf>
    <xf numFmtId="4" fontId="11" fillId="34" borderId="13" xfId="0" applyNumberFormat="1" applyFont="1" applyFill="1" applyBorder="1" applyAlignment="1">
      <alignment horizontal="center" vertical="center" wrapText="1"/>
    </xf>
    <xf numFmtId="4" fontId="21" fillId="33" borderId="13" xfId="0" applyNumberFormat="1" applyFont="1" applyFill="1" applyBorder="1" applyAlignment="1">
      <alignment horizontal="center" vertical="center" wrapText="1"/>
    </xf>
    <xf numFmtId="4" fontId="21" fillId="35" borderId="13" xfId="0" applyNumberFormat="1" applyFont="1" applyFill="1" applyBorder="1" applyAlignment="1">
      <alignment horizontal="center" vertical="center" wrapText="1"/>
    </xf>
    <xf numFmtId="4" fontId="21" fillId="34" borderId="13" xfId="0" applyNumberFormat="1" applyFont="1" applyFill="1" applyBorder="1" applyAlignment="1">
      <alignment horizontal="center" vertical="center" wrapText="1"/>
    </xf>
    <xf numFmtId="4" fontId="21" fillId="0" borderId="13" xfId="0" applyNumberFormat="1" applyFont="1" applyBorder="1" applyAlignment="1">
      <alignment horizontal="center" vertical="center" wrapText="1"/>
    </xf>
    <xf numFmtId="4" fontId="21" fillId="0" borderId="13" xfId="0" applyNumberFormat="1" applyFont="1" applyFill="1" applyBorder="1" applyAlignment="1">
      <alignment horizontal="center" vertical="center" wrapText="1"/>
    </xf>
    <xf numFmtId="4" fontId="21" fillId="35" borderId="13" xfId="0" applyNumberFormat="1" applyFont="1" applyFill="1" applyBorder="1" applyAlignment="1">
      <alignment horizontal="center" vertical="center"/>
    </xf>
    <xf numFmtId="4" fontId="11" fillId="33" borderId="13" xfId="0" applyNumberFormat="1" applyFont="1" applyFill="1" applyBorder="1" applyAlignment="1">
      <alignment/>
    </xf>
    <xf numFmtId="0" fontId="11" fillId="0" borderId="13" xfId="0" applyFont="1" applyBorder="1" applyAlignment="1">
      <alignment horizontal="center" vertical="center" wrapText="1"/>
    </xf>
    <xf numFmtId="2" fontId="11" fillId="0" borderId="13" xfId="0" applyNumberFormat="1" applyFont="1" applyBorder="1" applyAlignment="1">
      <alignment horizontal="centerContinuous" vertical="center" wrapText="1"/>
    </xf>
    <xf numFmtId="4" fontId="23" fillId="0" borderId="0" xfId="0" applyNumberFormat="1" applyFont="1" applyAlignment="1">
      <alignment/>
    </xf>
    <xf numFmtId="4" fontId="0" fillId="0" borderId="0" xfId="0" applyNumberFormat="1" applyFont="1" applyBorder="1" applyAlignment="1">
      <alignment/>
    </xf>
    <xf numFmtId="171" fontId="6" fillId="34" borderId="13" xfId="63" applyFont="1" applyFill="1" applyBorder="1" applyAlignment="1">
      <alignment horizontal="center" vertical="center" wrapText="1"/>
    </xf>
    <xf numFmtId="171" fontId="0" fillId="0" borderId="0" xfId="63" applyFont="1" applyAlignment="1">
      <alignment/>
    </xf>
    <xf numFmtId="43" fontId="0" fillId="0" borderId="0" xfId="0" applyNumberFormat="1" applyFont="1" applyAlignment="1">
      <alignment/>
    </xf>
    <xf numFmtId="0" fontId="8" fillId="38" borderId="13" xfId="53" applyFont="1" applyFill="1" applyBorder="1" applyAlignment="1">
      <alignment horizontal="left" wrapText="1"/>
      <protection/>
    </xf>
    <xf numFmtId="0" fontId="8" fillId="0" borderId="13" xfId="53" applyFont="1" applyFill="1" applyBorder="1" applyAlignment="1">
      <alignment horizontal="left" wrapText="1"/>
      <protection/>
    </xf>
    <xf numFmtId="0" fontId="8" fillId="0" borderId="13" xfId="53" applyNumberFormat="1" applyFont="1" applyFill="1" applyBorder="1" applyAlignment="1">
      <alignment vertical="top" wrapText="1"/>
      <protection/>
    </xf>
    <xf numFmtId="0" fontId="8" fillId="35" borderId="13" xfId="53" applyNumberFormat="1" applyFont="1" applyFill="1" applyBorder="1" applyAlignment="1">
      <alignment vertical="center" wrapText="1"/>
      <protection/>
    </xf>
    <xf numFmtId="49" fontId="11" fillId="33" borderId="13" xfId="0" applyNumberFormat="1" applyFont="1" applyFill="1" applyBorder="1" applyAlignment="1">
      <alignment horizontal="left" vertical="justify" wrapText="1"/>
    </xf>
    <xf numFmtId="181" fontId="0" fillId="0" borderId="0" xfId="0" applyNumberFormat="1" applyFont="1" applyAlignment="1">
      <alignment horizontal="center" vertical="center"/>
    </xf>
    <xf numFmtId="0" fontId="8" fillId="35" borderId="14" xfId="53"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4" fontId="0" fillId="0" borderId="0" xfId="0" applyNumberFormat="1" applyFont="1" applyAlignment="1">
      <alignment horizontal="center" vertical="center"/>
    </xf>
    <xf numFmtId="0" fontId="10" fillId="35" borderId="0" xfId="53" applyFont="1" applyFill="1">
      <alignment/>
      <protection/>
    </xf>
    <xf numFmtId="171" fontId="0" fillId="35" borderId="0" xfId="63" applyFont="1" applyFill="1" applyAlignment="1">
      <alignment/>
    </xf>
    <xf numFmtId="171" fontId="0" fillId="0" borderId="0" xfId="63" applyFont="1" applyBorder="1" applyAlignment="1">
      <alignment/>
    </xf>
    <xf numFmtId="4" fontId="8" fillId="0" borderId="30" xfId="0" applyNumberFormat="1" applyFont="1" applyFill="1" applyBorder="1" applyAlignment="1">
      <alignment horizontal="center" vertical="center" wrapText="1"/>
    </xf>
    <xf numFmtId="0" fontId="8" fillId="0" borderId="31" xfId="0" applyFont="1" applyBorder="1" applyAlignment="1">
      <alignment vertical="top" wrapText="1"/>
    </xf>
    <xf numFmtId="0" fontId="26" fillId="0" borderId="0" xfId="0" applyFont="1" applyAlignment="1">
      <alignment/>
    </xf>
    <xf numFmtId="171" fontId="8" fillId="35" borderId="13" xfId="63" applyFont="1" applyFill="1" applyBorder="1" applyAlignment="1">
      <alignment vertical="center"/>
    </xf>
    <xf numFmtId="4" fontId="22" fillId="33" borderId="12" xfId="0" applyNumberFormat="1" applyFont="1" applyFill="1" applyBorder="1" applyAlignment="1">
      <alignment/>
    </xf>
    <xf numFmtId="0" fontId="22" fillId="0" borderId="32" xfId="0" applyFont="1" applyBorder="1" applyAlignment="1">
      <alignment horizontal="right"/>
    </xf>
    <xf numFmtId="0" fontId="27" fillId="0" borderId="12" xfId="0" applyFont="1" applyFill="1" applyBorder="1" applyAlignment="1">
      <alignment horizontal="center" vertical="top" wrapText="1"/>
    </xf>
    <xf numFmtId="4" fontId="22" fillId="0" borderId="12" xfId="0" applyNumberFormat="1" applyFont="1" applyBorder="1" applyAlignment="1">
      <alignment/>
    </xf>
    <xf numFmtId="4" fontId="22" fillId="0" borderId="10" xfId="0" applyNumberFormat="1" applyFont="1" applyBorder="1" applyAlignment="1">
      <alignment/>
    </xf>
    <xf numFmtId="0" fontId="22" fillId="0" borderId="0" xfId="0" applyFont="1" applyAlignment="1">
      <alignment horizontal="right"/>
    </xf>
    <xf numFmtId="0" fontId="22" fillId="0" borderId="0" xfId="0" applyFont="1" applyAlignment="1">
      <alignment/>
    </xf>
    <xf numFmtId="0" fontId="22" fillId="0" borderId="0" xfId="0" applyFont="1" applyAlignment="1">
      <alignment horizontal="center"/>
    </xf>
    <xf numFmtId="0" fontId="27" fillId="0" borderId="12" xfId="0" applyFont="1" applyBorder="1" applyAlignment="1">
      <alignment horizontal="center" vertical="center" wrapText="1"/>
    </xf>
    <xf numFmtId="4" fontId="22" fillId="33" borderId="22" xfId="0" applyNumberFormat="1" applyFont="1" applyFill="1" applyBorder="1" applyAlignment="1">
      <alignment/>
    </xf>
    <xf numFmtId="4" fontId="22" fillId="33" borderId="17" xfId="0" applyNumberFormat="1" applyFont="1" applyFill="1" applyBorder="1" applyAlignment="1">
      <alignment/>
    </xf>
    <xf numFmtId="4" fontId="22" fillId="33" borderId="27" xfId="0" applyNumberFormat="1" applyFont="1" applyFill="1" applyBorder="1" applyAlignment="1">
      <alignment/>
    </xf>
    <xf numFmtId="2" fontId="0" fillId="0" borderId="0" xfId="0" applyNumberFormat="1" applyFont="1" applyAlignment="1">
      <alignment/>
    </xf>
    <xf numFmtId="0" fontId="6" fillId="33" borderId="13" xfId="53" applyFont="1" applyFill="1" applyBorder="1" applyAlignment="1">
      <alignment vertical="top" wrapText="1"/>
      <protection/>
    </xf>
    <xf numFmtId="171" fontId="0" fillId="0" borderId="0" xfId="63" applyFont="1" applyAlignment="1">
      <alignment vertical="center"/>
    </xf>
    <xf numFmtId="4" fontId="6" fillId="33" borderId="13" xfId="0" applyNumberFormat="1" applyFont="1" applyFill="1" applyBorder="1" applyAlignment="1">
      <alignment horizontal="center"/>
    </xf>
    <xf numFmtId="171" fontId="8" fillId="35" borderId="13" xfId="63" applyFont="1" applyFill="1" applyBorder="1" applyAlignment="1">
      <alignment vertical="center" wrapText="1"/>
    </xf>
    <xf numFmtId="0" fontId="6" fillId="0" borderId="0" xfId="0" applyFont="1" applyAlignment="1">
      <alignment horizontal="center" vertical="center" wrapText="1"/>
    </xf>
    <xf numFmtId="0" fontId="8" fillId="14" borderId="12" xfId="53" applyFont="1" applyFill="1" applyBorder="1" applyAlignment="1">
      <alignment horizontal="center" wrapText="1"/>
      <protection/>
    </xf>
    <xf numFmtId="0" fontId="8" fillId="39" borderId="12" xfId="53" applyFont="1" applyFill="1" applyBorder="1" applyAlignment="1">
      <alignment horizontal="center" wrapText="1"/>
      <protection/>
    </xf>
    <xf numFmtId="0" fontId="8" fillId="19" borderId="12" xfId="53" applyFont="1" applyFill="1" applyBorder="1" applyAlignment="1">
      <alignment horizontal="center" wrapText="1"/>
      <protection/>
    </xf>
    <xf numFmtId="0" fontId="8" fillId="7" borderId="12" xfId="53" applyFont="1" applyFill="1" applyBorder="1" applyAlignment="1">
      <alignment horizontal="center" wrapText="1"/>
      <protection/>
    </xf>
    <xf numFmtId="0" fontId="8" fillId="7" borderId="12" xfId="0" applyFont="1" applyFill="1" applyBorder="1" applyAlignment="1">
      <alignment horizontal="center" vertical="top" wrapText="1"/>
    </xf>
    <xf numFmtId="0" fontId="8" fillId="39" borderId="12" xfId="0" applyFont="1" applyFill="1" applyBorder="1" applyAlignment="1">
      <alignment horizontal="center" vertical="top" wrapText="1"/>
    </xf>
    <xf numFmtId="0" fontId="8" fillId="19" borderId="12" xfId="0" applyFont="1" applyFill="1" applyBorder="1" applyAlignment="1">
      <alignment horizontal="center" vertical="top" wrapText="1"/>
    </xf>
    <xf numFmtId="0" fontId="8" fillId="7" borderId="12" xfId="53" applyFont="1" applyFill="1" applyBorder="1" applyAlignment="1">
      <alignment horizontal="center" vertical="center" wrapText="1"/>
      <protection/>
    </xf>
    <xf numFmtId="0" fontId="8" fillId="7" borderId="12" xfId="0" applyFont="1" applyFill="1" applyBorder="1" applyAlignment="1">
      <alignment horizontal="center" vertical="center" wrapText="1"/>
    </xf>
    <xf numFmtId="0" fontId="8" fillId="0" borderId="23" xfId="53" applyFont="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8" fillId="13" borderId="12" xfId="53" applyFont="1" applyFill="1" applyBorder="1" applyAlignment="1">
      <alignment horizontal="center" vertical="center" wrapText="1"/>
      <protection/>
    </xf>
    <xf numFmtId="0" fontId="8" fillId="39" borderId="21" xfId="0" applyFont="1" applyFill="1" applyBorder="1" applyAlignment="1">
      <alignment horizontal="center" vertical="top" wrapText="1"/>
    </xf>
    <xf numFmtId="0" fontId="8" fillId="19" borderId="21" xfId="0" applyFont="1" applyFill="1" applyBorder="1" applyAlignment="1">
      <alignment horizontal="center" vertical="top" wrapText="1"/>
    </xf>
    <xf numFmtId="49" fontId="8" fillId="7" borderId="14" xfId="53" applyNumberFormat="1" applyFont="1" applyFill="1" applyBorder="1" applyAlignment="1">
      <alignment horizontal="center" vertical="center" wrapText="1"/>
      <protection/>
    </xf>
    <xf numFmtId="49" fontId="8" fillId="0" borderId="14" xfId="53" applyNumberFormat="1" applyFont="1" applyFill="1" applyBorder="1" applyAlignment="1">
      <alignment horizontal="center" vertical="center" wrapText="1"/>
      <protection/>
    </xf>
    <xf numFmtId="0" fontId="8" fillId="7" borderId="21" xfId="53" applyFont="1" applyFill="1" applyBorder="1" applyAlignment="1">
      <alignment horizontal="center" vertical="center" wrapText="1"/>
      <protection/>
    </xf>
    <xf numFmtId="0" fontId="8" fillId="0" borderId="21" xfId="53" applyFont="1" applyBorder="1" applyAlignment="1">
      <alignment horizontal="center" vertical="center" wrapText="1"/>
      <protection/>
    </xf>
    <xf numFmtId="0" fontId="8" fillId="7" borderId="21" xfId="53" applyFont="1" applyFill="1" applyBorder="1" applyAlignment="1">
      <alignment horizontal="center" wrapText="1"/>
      <protection/>
    </xf>
    <xf numFmtId="0" fontId="8" fillId="0" borderId="33" xfId="53" applyFont="1" applyBorder="1" applyAlignment="1">
      <alignment horizontal="center" vertical="center" wrapText="1"/>
      <protection/>
    </xf>
    <xf numFmtId="0" fontId="8" fillId="19" borderId="12" xfId="53" applyFont="1" applyFill="1" applyBorder="1" applyAlignment="1">
      <alignment horizontal="center" vertical="center" wrapText="1"/>
      <protection/>
    </xf>
    <xf numFmtId="0" fontId="8" fillId="39" borderId="21" xfId="53" applyFont="1" applyFill="1" applyBorder="1" applyAlignment="1">
      <alignment horizontal="center" vertical="center" wrapText="1"/>
      <protection/>
    </xf>
    <xf numFmtId="0" fontId="8" fillId="19" borderId="21" xfId="53" applyFont="1" applyFill="1" applyBorder="1" applyAlignment="1">
      <alignment horizontal="center" vertical="center" wrapText="1"/>
      <protection/>
    </xf>
    <xf numFmtId="0" fontId="8" fillId="13" borderId="21" xfId="53" applyFont="1" applyFill="1" applyBorder="1" applyAlignment="1">
      <alignment horizontal="center" vertical="center" wrapText="1"/>
      <protection/>
    </xf>
    <xf numFmtId="0" fontId="8" fillId="35" borderId="21" xfId="53" applyFont="1" applyFill="1" applyBorder="1" applyAlignment="1">
      <alignment horizontal="center" vertical="center" wrapText="1"/>
      <protection/>
    </xf>
    <xf numFmtId="0" fontId="8" fillId="40" borderId="21" xfId="53" applyFont="1" applyFill="1" applyBorder="1" applyAlignment="1">
      <alignment horizontal="center" vertical="center" wrapText="1"/>
      <protection/>
    </xf>
    <xf numFmtId="0" fontId="8" fillId="19" borderId="12" xfId="53" applyFont="1" applyFill="1" applyBorder="1" applyAlignment="1">
      <alignment horizontal="center"/>
      <protection/>
    </xf>
    <xf numFmtId="0" fontId="8" fillId="7" borderId="12" xfId="53" applyFont="1" applyFill="1" applyBorder="1" applyAlignment="1">
      <alignment horizontal="center"/>
      <protection/>
    </xf>
    <xf numFmtId="0" fontId="8" fillId="0" borderId="14"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4"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8" fillId="40" borderId="12" xfId="53" applyFont="1" applyFill="1" applyBorder="1" applyAlignment="1">
      <alignment horizontal="center" vertical="center" wrapText="1"/>
      <protection/>
    </xf>
    <xf numFmtId="0" fontId="6" fillId="35" borderId="14" xfId="53" applyFont="1" applyFill="1" applyBorder="1" applyAlignment="1">
      <alignment horizontal="center" vertical="center" wrapText="1"/>
      <protection/>
    </xf>
    <xf numFmtId="0" fontId="6" fillId="14" borderId="12" xfId="53" applyFont="1" applyFill="1" applyBorder="1" applyAlignment="1">
      <alignment horizontal="center" wrapText="1"/>
      <protection/>
    </xf>
    <xf numFmtId="0" fontId="6" fillId="39" borderId="12" xfId="53" applyFont="1" applyFill="1" applyBorder="1" applyAlignment="1">
      <alignment horizontal="center" wrapText="1"/>
      <protection/>
    </xf>
    <xf numFmtId="0" fontId="6" fillId="19" borderId="12" xfId="53" applyFont="1" applyFill="1" applyBorder="1" applyAlignment="1">
      <alignment horizontal="center" wrapText="1"/>
      <protection/>
    </xf>
    <xf numFmtId="0" fontId="8" fillId="7" borderId="12" xfId="0" applyFont="1" applyFill="1" applyBorder="1" applyAlignment="1">
      <alignment wrapText="1"/>
    </xf>
    <xf numFmtId="0" fontId="6" fillId="39" borderId="12" xfId="0" applyFont="1" applyFill="1" applyBorder="1" applyAlignment="1">
      <alignment wrapText="1"/>
    </xf>
    <xf numFmtId="0" fontId="8" fillId="19" borderId="12" xfId="0" applyFont="1" applyFill="1" applyBorder="1" applyAlignment="1">
      <alignment wrapText="1"/>
    </xf>
    <xf numFmtId="0" fontId="8" fillId="7" borderId="12" xfId="53" applyFont="1" applyFill="1" applyBorder="1" applyAlignment="1">
      <alignment wrapText="1"/>
      <protection/>
    </xf>
    <xf numFmtId="0" fontId="8" fillId="0" borderId="23" xfId="53" applyFont="1" applyBorder="1" applyAlignment="1">
      <alignment wrapText="1"/>
      <protection/>
    </xf>
    <xf numFmtId="0" fontId="6" fillId="39" borderId="12" xfId="53" applyFont="1" applyFill="1" applyBorder="1" applyAlignment="1">
      <alignment wrapText="1"/>
      <protection/>
    </xf>
    <xf numFmtId="0" fontId="8" fillId="13" borderId="12" xfId="53" applyFont="1" applyFill="1" applyBorder="1" applyAlignment="1">
      <alignment wrapText="1"/>
      <protection/>
    </xf>
    <xf numFmtId="0" fontId="6" fillId="39" borderId="21" xfId="0" applyFont="1" applyFill="1" applyBorder="1" applyAlignment="1">
      <alignment wrapText="1"/>
    </xf>
    <xf numFmtId="0" fontId="6" fillId="19" borderId="21" xfId="0" applyFont="1" applyFill="1" applyBorder="1" applyAlignment="1">
      <alignment wrapText="1"/>
    </xf>
    <xf numFmtId="0" fontId="8" fillId="7" borderId="14" xfId="53" applyFont="1" applyFill="1" applyBorder="1" applyAlignment="1">
      <alignment horizontal="left" vertical="top" wrapText="1"/>
      <protection/>
    </xf>
    <xf numFmtId="0" fontId="8" fillId="7" borderId="21" xfId="53" applyFont="1" applyFill="1" applyBorder="1" applyAlignment="1">
      <alignment vertical="top" wrapText="1"/>
      <protection/>
    </xf>
    <xf numFmtId="0" fontId="8" fillId="0" borderId="21" xfId="53" applyFont="1" applyBorder="1" applyAlignment="1">
      <alignment vertical="top" wrapText="1"/>
      <protection/>
    </xf>
    <xf numFmtId="0" fontId="8" fillId="7" borderId="21" xfId="0" applyFont="1" applyFill="1" applyBorder="1" applyAlignment="1">
      <alignment wrapText="1"/>
    </xf>
    <xf numFmtId="0" fontId="8" fillId="7" borderId="21" xfId="53" applyFont="1" applyFill="1" applyBorder="1" applyAlignment="1">
      <alignment wrapText="1"/>
      <protection/>
    </xf>
    <xf numFmtId="0" fontId="8" fillId="0" borderId="33" xfId="53" applyFont="1" applyBorder="1" applyAlignment="1">
      <alignment wrapText="1"/>
      <protection/>
    </xf>
    <xf numFmtId="0" fontId="8" fillId="19" borderId="12" xfId="53" applyFont="1" applyFill="1" applyBorder="1" applyAlignment="1">
      <alignment wrapText="1"/>
      <protection/>
    </xf>
    <xf numFmtId="0" fontId="8" fillId="0" borderId="34" xfId="53" applyFont="1" applyBorder="1" applyAlignment="1">
      <alignment vertical="center" wrapText="1"/>
      <protection/>
    </xf>
    <xf numFmtId="0" fontId="6" fillId="39" borderId="21" xfId="53" applyFont="1" applyFill="1" applyBorder="1" applyAlignment="1">
      <alignment wrapText="1"/>
      <protection/>
    </xf>
    <xf numFmtId="0" fontId="8" fillId="19" borderId="21" xfId="53" applyFont="1" applyFill="1" applyBorder="1" applyAlignment="1">
      <alignment wrapText="1"/>
      <protection/>
    </xf>
    <xf numFmtId="0" fontId="8" fillId="0" borderId="21" xfId="53" applyFont="1" applyBorder="1" applyAlignment="1">
      <alignment wrapText="1"/>
      <protection/>
    </xf>
    <xf numFmtId="0" fontId="8" fillId="13" borderId="21" xfId="53" applyFont="1" applyFill="1" applyBorder="1" applyAlignment="1">
      <alignment wrapText="1"/>
      <protection/>
    </xf>
    <xf numFmtId="0" fontId="8" fillId="0" borderId="21" xfId="53" applyFont="1" applyBorder="1" applyAlignment="1">
      <alignment horizontal="left" vertical="top" wrapText="1"/>
      <protection/>
    </xf>
    <xf numFmtId="0" fontId="8" fillId="35" borderId="21" xfId="53" applyFont="1" applyFill="1" applyBorder="1" applyAlignment="1">
      <alignment wrapText="1"/>
      <protection/>
    </xf>
    <xf numFmtId="0" fontId="8" fillId="40" borderId="21" xfId="53" applyFont="1" applyFill="1" applyBorder="1" applyAlignment="1">
      <alignment wrapText="1"/>
      <protection/>
    </xf>
    <xf numFmtId="0" fontId="8" fillId="7" borderId="21" xfId="53" applyFont="1" applyFill="1" applyBorder="1" applyAlignment="1">
      <alignment vertical="center" wrapText="1"/>
      <protection/>
    </xf>
    <xf numFmtId="0" fontId="8" fillId="0" borderId="22" xfId="53" applyFont="1" applyFill="1" applyBorder="1" applyAlignment="1">
      <alignment wrapText="1"/>
      <protection/>
    </xf>
    <xf numFmtId="0" fontId="8" fillId="0" borderId="35" xfId="0" applyFont="1" applyFill="1" applyBorder="1" applyAlignment="1">
      <alignment vertical="top" wrapText="1"/>
    </xf>
    <xf numFmtId="0" fontId="8" fillId="0" borderId="14" xfId="53" applyNumberFormat="1" applyFont="1" applyFill="1" applyBorder="1" applyAlignment="1">
      <alignment vertical="top" wrapText="1"/>
      <protection/>
    </xf>
    <xf numFmtId="0" fontId="8" fillId="0" borderId="15" xfId="53" applyNumberFormat="1" applyFont="1" applyFill="1" applyBorder="1" applyAlignment="1">
      <alignment vertical="top" wrapText="1"/>
      <protection/>
    </xf>
    <xf numFmtId="0" fontId="8" fillId="0" borderId="36" xfId="53" applyFont="1" applyFill="1" applyBorder="1" applyAlignment="1">
      <alignment vertical="top" wrapText="1"/>
      <protection/>
    </xf>
    <xf numFmtId="0" fontId="8" fillId="19" borderId="36" xfId="53" applyFont="1" applyFill="1" applyBorder="1" applyAlignment="1">
      <alignment vertical="top" wrapText="1"/>
      <protection/>
    </xf>
    <xf numFmtId="0" fontId="8" fillId="7" borderId="36" xfId="53" applyFont="1" applyFill="1" applyBorder="1" applyAlignment="1">
      <alignment vertical="top" wrapText="1"/>
      <protection/>
    </xf>
    <xf numFmtId="0" fontId="8" fillId="19" borderId="12" xfId="53" applyFont="1" applyFill="1" applyBorder="1" applyAlignment="1">
      <alignment vertical="top" wrapText="1"/>
      <protection/>
    </xf>
    <xf numFmtId="0" fontId="8" fillId="7" borderId="12" xfId="53" applyFont="1" applyFill="1" applyBorder="1" applyAlignment="1">
      <alignment vertical="top" wrapText="1"/>
      <protection/>
    </xf>
    <xf numFmtId="0" fontId="6" fillId="40" borderId="12" xfId="53" applyNumberFormat="1" applyFont="1" applyFill="1" applyBorder="1" applyAlignment="1">
      <alignment vertical="top" wrapText="1"/>
      <protection/>
    </xf>
    <xf numFmtId="0" fontId="8" fillId="19" borderId="0" xfId="53" applyNumberFormat="1" applyFont="1" applyFill="1" applyBorder="1" applyAlignment="1">
      <alignment vertical="top" wrapText="1"/>
      <protection/>
    </xf>
    <xf numFmtId="0" fontId="8" fillId="7" borderId="12" xfId="53" applyNumberFormat="1" applyFont="1" applyFill="1" applyBorder="1" applyAlignment="1">
      <alignment vertical="top" wrapText="1"/>
      <protection/>
    </xf>
    <xf numFmtId="0" fontId="6" fillId="40" borderId="22" xfId="53" applyNumberFormat="1" applyFont="1" applyFill="1" applyBorder="1" applyAlignment="1">
      <alignment vertical="center" wrapText="1"/>
      <protection/>
    </xf>
    <xf numFmtId="0" fontId="8" fillId="35" borderId="12" xfId="53" applyNumberFormat="1" applyFont="1" applyFill="1" applyBorder="1" applyAlignment="1">
      <alignment vertical="top" wrapText="1"/>
      <protection/>
    </xf>
    <xf numFmtId="0" fontId="6" fillId="35" borderId="14" xfId="53" applyFont="1" applyFill="1" applyBorder="1" applyAlignment="1">
      <alignment horizontal="center" vertical="top" wrapText="1"/>
      <protection/>
    </xf>
    <xf numFmtId="4" fontId="8" fillId="14" borderId="12" xfId="53" applyNumberFormat="1" applyFont="1" applyFill="1" applyBorder="1" applyAlignment="1">
      <alignment horizontal="center" wrapText="1"/>
      <protection/>
    </xf>
    <xf numFmtId="4" fontId="8" fillId="39" borderId="12" xfId="53" applyNumberFormat="1" applyFont="1" applyFill="1" applyBorder="1" applyAlignment="1">
      <alignment horizontal="center" wrapText="1"/>
      <protection/>
    </xf>
    <xf numFmtId="4" fontId="8" fillId="19" borderId="12" xfId="53" applyNumberFormat="1" applyFont="1" applyFill="1" applyBorder="1" applyAlignment="1">
      <alignment horizontal="center" wrapText="1"/>
      <protection/>
    </xf>
    <xf numFmtId="4" fontId="8" fillId="7" borderId="12" xfId="53" applyNumberFormat="1" applyFont="1" applyFill="1" applyBorder="1" applyAlignment="1">
      <alignment horizontal="center" wrapText="1"/>
      <protection/>
    </xf>
    <xf numFmtId="4" fontId="8" fillId="0" borderId="12" xfId="53" applyNumberFormat="1" applyFont="1" applyFill="1" applyBorder="1" applyAlignment="1">
      <alignment horizontal="center" vertical="top" wrapText="1"/>
      <protection/>
    </xf>
    <xf numFmtId="4" fontId="8" fillId="7" borderId="12" xfId="53" applyNumberFormat="1" applyFont="1" applyFill="1" applyBorder="1" applyAlignment="1">
      <alignment horizontal="center" vertical="top" wrapText="1"/>
      <protection/>
    </xf>
    <xf numFmtId="4" fontId="8" fillId="39" borderId="12" xfId="53" applyNumberFormat="1" applyFont="1" applyFill="1" applyBorder="1" applyAlignment="1">
      <alignment horizontal="center" vertical="top" wrapText="1"/>
      <protection/>
    </xf>
    <xf numFmtId="4" fontId="8" fillId="19" borderId="12" xfId="53" applyNumberFormat="1" applyFont="1" applyFill="1" applyBorder="1" applyAlignment="1">
      <alignment horizontal="center" vertical="top" wrapText="1"/>
      <protection/>
    </xf>
    <xf numFmtId="4" fontId="8" fillId="0" borderId="23" xfId="53" applyNumberFormat="1" applyFont="1" applyFill="1" applyBorder="1" applyAlignment="1">
      <alignment horizontal="center" vertical="top" wrapText="1"/>
      <protection/>
    </xf>
    <xf numFmtId="4" fontId="8" fillId="0" borderId="37" xfId="53" applyNumberFormat="1" applyFont="1" applyFill="1" applyBorder="1" applyAlignment="1">
      <alignment horizontal="center" vertical="top" wrapText="1"/>
      <protection/>
    </xf>
    <xf numFmtId="4" fontId="8" fillId="13" borderId="12" xfId="53" applyNumberFormat="1" applyFont="1" applyFill="1" applyBorder="1" applyAlignment="1">
      <alignment horizontal="center" vertical="top" wrapText="1"/>
      <protection/>
    </xf>
    <xf numFmtId="4" fontId="8" fillId="39" borderId="21" xfId="53" applyNumberFormat="1" applyFont="1" applyFill="1" applyBorder="1" applyAlignment="1">
      <alignment horizontal="center" vertical="top" wrapText="1"/>
      <protection/>
    </xf>
    <xf numFmtId="4" fontId="8" fillId="19" borderId="21" xfId="53" applyNumberFormat="1" applyFont="1" applyFill="1" applyBorder="1" applyAlignment="1">
      <alignment horizontal="center" vertical="top" wrapText="1"/>
      <protection/>
    </xf>
    <xf numFmtId="4" fontId="8" fillId="7" borderId="21" xfId="53" applyNumberFormat="1" applyFont="1" applyFill="1" applyBorder="1" applyAlignment="1">
      <alignment horizontal="center" vertical="top" wrapText="1"/>
      <protection/>
    </xf>
    <xf numFmtId="4" fontId="8" fillId="0" borderId="21" xfId="53" applyNumberFormat="1" applyFont="1" applyFill="1" applyBorder="1" applyAlignment="1">
      <alignment horizontal="center" vertical="top" wrapText="1"/>
      <protection/>
    </xf>
    <xf numFmtId="4" fontId="8" fillId="0" borderId="21" xfId="53" applyNumberFormat="1" applyFont="1" applyBorder="1" applyAlignment="1">
      <alignment horizontal="center" vertical="top" wrapText="1"/>
      <protection/>
    </xf>
    <xf numFmtId="4" fontId="8" fillId="7" borderId="21" xfId="53" applyNumberFormat="1" applyFont="1" applyFill="1" applyBorder="1" applyAlignment="1">
      <alignment horizontal="center" wrapText="1"/>
      <protection/>
    </xf>
    <xf numFmtId="4" fontId="8" fillId="7" borderId="21" xfId="53" applyNumberFormat="1" applyFont="1" applyFill="1" applyBorder="1" applyAlignment="1">
      <alignment horizontal="center"/>
      <protection/>
    </xf>
    <xf numFmtId="4" fontId="8" fillId="0" borderId="33" xfId="53" applyNumberFormat="1" applyFont="1" applyBorder="1" applyAlignment="1">
      <alignment horizontal="center" vertical="top" wrapText="1"/>
      <protection/>
    </xf>
    <xf numFmtId="4" fontId="8" fillId="7" borderId="12" xfId="53" applyNumberFormat="1" applyFont="1" applyFill="1" applyBorder="1" applyAlignment="1">
      <alignment horizontal="center"/>
      <protection/>
    </xf>
    <xf numFmtId="4" fontId="8" fillId="0" borderId="38" xfId="53" applyNumberFormat="1" applyFont="1" applyFill="1" applyBorder="1" applyAlignment="1">
      <alignment horizontal="center" vertical="top" wrapText="1"/>
      <protection/>
    </xf>
    <xf numFmtId="4" fontId="8" fillId="35" borderId="21" xfId="53" applyNumberFormat="1" applyFont="1" applyFill="1" applyBorder="1" applyAlignment="1">
      <alignment horizontal="center" vertical="top" wrapText="1"/>
      <protection/>
    </xf>
    <xf numFmtId="4" fontId="8" fillId="13" borderId="21" xfId="53" applyNumberFormat="1" applyFont="1" applyFill="1" applyBorder="1" applyAlignment="1">
      <alignment horizontal="center" vertical="top" wrapText="1"/>
      <protection/>
    </xf>
    <xf numFmtId="4" fontId="8" fillId="14" borderId="21" xfId="53" applyNumberFormat="1" applyFont="1" applyFill="1" applyBorder="1" applyAlignment="1">
      <alignment horizontal="center" vertical="top" wrapText="1"/>
      <protection/>
    </xf>
    <xf numFmtId="4" fontId="8" fillId="40" borderId="21" xfId="53" applyNumberFormat="1" applyFont="1" applyFill="1" applyBorder="1" applyAlignment="1">
      <alignment horizontal="center" vertical="top" wrapText="1"/>
      <protection/>
    </xf>
    <xf numFmtId="4" fontId="8" fillId="0" borderId="39" xfId="53" applyNumberFormat="1" applyFont="1" applyFill="1" applyBorder="1" applyAlignment="1">
      <alignment horizontal="center" vertical="top" wrapText="1"/>
      <protection/>
    </xf>
    <xf numFmtId="4" fontId="8" fillId="19" borderId="12" xfId="53" applyNumberFormat="1" applyFont="1" applyFill="1" applyBorder="1" applyAlignment="1">
      <alignment horizontal="center"/>
      <protection/>
    </xf>
    <xf numFmtId="4" fontId="8" fillId="0" borderId="12" xfId="53" applyNumberFormat="1" applyFont="1" applyBorder="1" applyAlignment="1">
      <alignment horizontal="center" vertical="top" wrapText="1"/>
      <protection/>
    </xf>
    <xf numFmtId="4" fontId="8" fillId="0" borderId="26" xfId="53" applyNumberFormat="1" applyFont="1" applyBorder="1" applyAlignment="1">
      <alignment horizontal="center" vertical="top" wrapText="1"/>
      <protection/>
    </xf>
    <xf numFmtId="4" fontId="8" fillId="40" borderId="12" xfId="53" applyNumberFormat="1" applyFont="1" applyFill="1" applyBorder="1" applyAlignment="1">
      <alignment horizontal="center"/>
      <protection/>
    </xf>
    <xf numFmtId="4" fontId="6" fillId="40" borderId="12" xfId="53" applyNumberFormat="1" applyFont="1" applyFill="1" applyBorder="1" applyAlignment="1">
      <alignment horizontal="center" vertical="top" wrapText="1"/>
      <protection/>
    </xf>
    <xf numFmtId="4" fontId="8" fillId="40" borderId="12" xfId="53" applyNumberFormat="1" applyFont="1" applyFill="1" applyBorder="1" applyAlignment="1">
      <alignment horizontal="center" vertical="top" wrapText="1"/>
      <protection/>
    </xf>
    <xf numFmtId="4" fontId="8" fillId="35" borderId="10" xfId="53" applyNumberFormat="1" applyFont="1" applyFill="1" applyBorder="1" applyAlignment="1">
      <alignment horizontal="center" vertical="top" wrapText="1"/>
      <protection/>
    </xf>
    <xf numFmtId="4" fontId="6" fillId="35" borderId="10" xfId="53" applyNumberFormat="1" applyFont="1" applyFill="1" applyBorder="1" applyAlignment="1">
      <alignment horizontal="center" vertical="top" wrapText="1"/>
      <protection/>
    </xf>
    <xf numFmtId="4" fontId="8" fillId="35" borderId="12" xfId="53" applyNumberFormat="1" applyFont="1" applyFill="1" applyBorder="1" applyAlignment="1">
      <alignment horizontal="center" vertical="top" wrapText="1"/>
      <protection/>
    </xf>
    <xf numFmtId="0" fontId="8" fillId="19" borderId="12" xfId="53" applyFont="1" applyFill="1" applyBorder="1" applyAlignment="1">
      <alignment horizontal="left" vertical="top" wrapText="1"/>
      <protection/>
    </xf>
    <xf numFmtId="0" fontId="8" fillId="7" borderId="12" xfId="53" applyFont="1" applyFill="1" applyBorder="1" applyAlignment="1">
      <alignment horizontal="left" vertical="top" wrapText="1"/>
      <protection/>
    </xf>
    <xf numFmtId="0" fontId="8" fillId="19" borderId="12" xfId="53" applyFont="1" applyFill="1" applyBorder="1" applyAlignment="1">
      <alignment horizontal="left" wrapText="1"/>
      <protection/>
    </xf>
    <xf numFmtId="0" fontId="8" fillId="7" borderId="12" xfId="53" applyFont="1" applyFill="1" applyBorder="1" applyAlignment="1">
      <alignment horizontal="left" wrapText="1"/>
      <protection/>
    </xf>
    <xf numFmtId="0" fontId="8" fillId="0" borderId="12" xfId="53" applyFont="1" applyFill="1" applyBorder="1" applyAlignment="1">
      <alignment horizontal="left" vertical="top" wrapText="1"/>
      <protection/>
    </xf>
    <xf numFmtId="0" fontId="8" fillId="19" borderId="12" xfId="53" applyFont="1" applyFill="1" applyBorder="1" applyAlignment="1">
      <alignment horizontal="left"/>
      <protection/>
    </xf>
    <xf numFmtId="0" fontId="8" fillId="7" borderId="12" xfId="53" applyFont="1" applyFill="1" applyBorder="1" applyAlignment="1">
      <alignment horizontal="left"/>
      <protection/>
    </xf>
    <xf numFmtId="0" fontId="8" fillId="41" borderId="12" xfId="53" applyFont="1" applyFill="1" applyBorder="1" applyAlignment="1">
      <alignment horizontal="center" vertical="center" wrapText="1"/>
      <protection/>
    </xf>
    <xf numFmtId="0" fontId="8" fillId="41" borderId="12" xfId="53" applyNumberFormat="1" applyFont="1" applyFill="1" applyBorder="1" applyAlignment="1">
      <alignment vertical="center" wrapText="1"/>
      <protection/>
    </xf>
    <xf numFmtId="4" fontId="8" fillId="41" borderId="12" xfId="53" applyNumberFormat="1" applyFont="1" applyFill="1" applyBorder="1" applyAlignment="1">
      <alignment horizontal="center" vertical="top" wrapText="1"/>
      <protection/>
    </xf>
    <xf numFmtId="0" fontId="8" fillId="38" borderId="12" xfId="53" applyNumberFormat="1" applyFont="1" applyFill="1" applyBorder="1" applyAlignment="1">
      <alignment vertical="center" wrapText="1"/>
      <protection/>
    </xf>
    <xf numFmtId="0" fontId="8" fillId="38" borderId="12" xfId="53" applyFont="1" applyFill="1" applyBorder="1" applyAlignment="1">
      <alignment horizontal="center" vertical="center" wrapText="1"/>
      <protection/>
    </xf>
    <xf numFmtId="0" fontId="8" fillId="35" borderId="12" xfId="53" applyNumberFormat="1" applyFont="1" applyFill="1" applyBorder="1" applyAlignment="1">
      <alignment vertical="center" wrapText="1"/>
      <protection/>
    </xf>
    <xf numFmtId="4" fontId="8" fillId="38" borderId="0" xfId="53" applyNumberFormat="1" applyFont="1" applyFill="1" applyBorder="1" applyAlignment="1">
      <alignment horizontal="center" vertical="top" wrapText="1"/>
      <protection/>
    </xf>
    <xf numFmtId="4" fontId="8" fillId="38" borderId="12" xfId="53" applyNumberFormat="1" applyFont="1" applyFill="1" applyBorder="1" applyAlignment="1">
      <alignment horizontal="center" vertical="top" wrapText="1"/>
      <protection/>
    </xf>
    <xf numFmtId="0" fontId="8" fillId="35" borderId="0" xfId="53" applyFont="1" applyFill="1" applyBorder="1" applyAlignment="1">
      <alignment horizontal="left" vertical="top" wrapText="1"/>
      <protection/>
    </xf>
    <xf numFmtId="0" fontId="8" fillId="35" borderId="22" xfId="53" applyFont="1" applyFill="1" applyBorder="1" applyAlignment="1">
      <alignment horizontal="left" vertical="top" wrapText="1"/>
      <protection/>
    </xf>
    <xf numFmtId="0" fontId="8" fillId="35" borderId="39" xfId="53" applyFont="1" applyFill="1" applyBorder="1" applyAlignment="1">
      <alignment horizontal="left" vertical="top" wrapText="1"/>
      <protection/>
    </xf>
    <xf numFmtId="0" fontId="8" fillId="35" borderId="12" xfId="53" applyFont="1" applyFill="1" applyBorder="1" applyAlignment="1">
      <alignment horizontal="left" vertical="top" wrapText="1"/>
      <protection/>
    </xf>
    <xf numFmtId="0" fontId="8" fillId="35" borderId="14" xfId="53" applyFont="1" applyFill="1" applyBorder="1" applyAlignment="1">
      <alignment horizontal="left" vertical="top" wrapText="1"/>
      <protection/>
    </xf>
    <xf numFmtId="0" fontId="8" fillId="35" borderId="12" xfId="0" applyFont="1" applyFill="1" applyBorder="1" applyAlignment="1">
      <alignment horizontal="left" vertical="top" wrapText="1"/>
    </xf>
    <xf numFmtId="0" fontId="8" fillId="35" borderId="26" xfId="53" applyFont="1" applyFill="1" applyBorder="1" applyAlignment="1">
      <alignment horizontal="center" vertical="center" wrapText="1"/>
      <protection/>
    </xf>
    <xf numFmtId="0" fontId="8" fillId="35" borderId="26" xfId="53" applyFont="1" applyFill="1" applyBorder="1" applyAlignment="1">
      <alignment wrapText="1"/>
      <protection/>
    </xf>
    <xf numFmtId="0" fontId="8" fillId="35" borderId="13" xfId="53" applyFont="1" applyFill="1" applyBorder="1" applyAlignment="1">
      <alignment horizontal="center" vertical="center" wrapText="1"/>
      <protection/>
    </xf>
    <xf numFmtId="0" fontId="8" fillId="35" borderId="12" xfId="0" applyFont="1" applyFill="1" applyBorder="1" applyAlignment="1">
      <alignment wrapText="1"/>
    </xf>
    <xf numFmtId="0" fontId="8" fillId="35" borderId="12" xfId="0" applyFont="1" applyFill="1" applyBorder="1" applyAlignment="1">
      <alignment horizontal="center" vertical="center"/>
    </xf>
    <xf numFmtId="3" fontId="8" fillId="35" borderId="12" xfId="0" applyNumberFormat="1" applyFont="1" applyFill="1" applyBorder="1" applyAlignment="1">
      <alignment horizontal="center" vertical="center" wrapText="1"/>
    </xf>
    <xf numFmtId="171" fontId="8" fillId="35" borderId="13" xfId="0" applyNumberFormat="1" applyFont="1" applyFill="1" applyBorder="1" applyAlignment="1">
      <alignment horizontal="center" vertical="center"/>
    </xf>
    <xf numFmtId="4" fontId="22" fillId="0" borderId="0" xfId="0" applyNumberFormat="1" applyFont="1" applyAlignment="1">
      <alignment/>
    </xf>
    <xf numFmtId="0" fontId="6" fillId="34" borderId="13" xfId="0" applyFont="1" applyFill="1" applyBorder="1" applyAlignment="1">
      <alignment horizontal="center" vertical="center" wrapText="1"/>
    </xf>
    <xf numFmtId="171" fontId="8" fillId="0" borderId="13" xfId="63" applyFont="1" applyFill="1" applyBorder="1" applyAlignment="1">
      <alignment horizontal="center" vertical="center"/>
    </xf>
    <xf numFmtId="0" fontId="0" fillId="0" borderId="0" xfId="0" applyFont="1" applyAlignment="1">
      <alignment horizontal="center"/>
    </xf>
    <xf numFmtId="2" fontId="7" fillId="0" borderId="13" xfId="0" applyNumberFormat="1" applyFont="1" applyBorder="1" applyAlignment="1">
      <alignment horizontal="center" vertical="center" wrapText="1"/>
    </xf>
    <xf numFmtId="43" fontId="0" fillId="0" borderId="0" xfId="0" applyNumberFormat="1" applyFont="1" applyAlignment="1">
      <alignment horizontal="center"/>
    </xf>
    <xf numFmtId="4" fontId="0" fillId="0" borderId="0" xfId="0" applyNumberFormat="1" applyFont="1" applyAlignment="1">
      <alignment horizontal="center"/>
    </xf>
    <xf numFmtId="0" fontId="10" fillId="0" borderId="32" xfId="53" applyFont="1" applyBorder="1">
      <alignment/>
      <protection/>
    </xf>
    <xf numFmtId="0" fontId="10" fillId="0" borderId="0" xfId="53" applyFont="1" applyBorder="1">
      <alignment/>
      <protection/>
    </xf>
    <xf numFmtId="0" fontId="10" fillId="0" borderId="12" xfId="53" applyFont="1" applyBorder="1" applyAlignment="1">
      <alignment horizontal="center" vertical="center" wrapText="1"/>
      <protection/>
    </xf>
    <xf numFmtId="0" fontId="10" fillId="0" borderId="26" xfId="53" applyFont="1" applyBorder="1" applyAlignment="1">
      <alignment horizontal="center" wrapText="1"/>
      <protection/>
    </xf>
    <xf numFmtId="0" fontId="10" fillId="0" borderId="36" xfId="53" applyFont="1" applyBorder="1" applyAlignment="1">
      <alignment horizontal="center" wrapText="1"/>
      <protection/>
    </xf>
    <xf numFmtId="0" fontId="8" fillId="7" borderId="21" xfId="0" applyFont="1" applyFill="1" applyBorder="1" applyAlignment="1">
      <alignment horizontal="center" vertical="center" wrapText="1"/>
    </xf>
    <xf numFmtId="0" fontId="8" fillId="7" borderId="21" xfId="0" applyFont="1" applyFill="1" applyBorder="1" applyAlignment="1">
      <alignment vertical="top" wrapText="1"/>
    </xf>
    <xf numFmtId="0" fontId="8" fillId="0" borderId="21" xfId="0" applyFont="1" applyBorder="1" applyAlignment="1">
      <alignment horizontal="center" vertical="center" wrapText="1"/>
    </xf>
    <xf numFmtId="0" fontId="8" fillId="0" borderId="21" xfId="0" applyFont="1" applyBorder="1" applyAlignment="1">
      <alignment vertical="top" wrapText="1"/>
    </xf>
    <xf numFmtId="0" fontId="8" fillId="7" borderId="12" xfId="0" applyFont="1" applyFill="1" applyBorder="1" applyAlignment="1">
      <alignment horizontal="justify" vertical="center" wrapText="1"/>
    </xf>
    <xf numFmtId="0" fontId="8" fillId="0" borderId="12" xfId="0" applyFont="1" applyBorder="1" applyAlignment="1">
      <alignment horizontal="justify" vertical="center" wrapText="1"/>
    </xf>
    <xf numFmtId="4" fontId="8" fillId="0" borderId="17" xfId="53" applyNumberFormat="1" applyFont="1" applyFill="1" applyBorder="1" applyAlignment="1">
      <alignment horizontal="center" vertical="top" wrapText="1"/>
      <protection/>
    </xf>
    <xf numFmtId="0" fontId="10" fillId="0" borderId="0" xfId="53" applyFont="1" applyFill="1">
      <alignment/>
      <protection/>
    </xf>
    <xf numFmtId="4" fontId="8" fillId="35" borderId="40" xfId="0" applyNumberFormat="1" applyFont="1" applyFill="1" applyBorder="1" applyAlignment="1">
      <alignment horizontal="center" vertical="center"/>
    </xf>
    <xf numFmtId="43" fontId="0" fillId="0" borderId="0" xfId="0" applyNumberFormat="1" applyFont="1" applyAlignment="1">
      <alignment horizontal="center" vertical="center"/>
    </xf>
    <xf numFmtId="4" fontId="15" fillId="35" borderId="13" xfId="0" applyNumberFormat="1" applyFont="1" applyFill="1" applyBorder="1" applyAlignment="1">
      <alignment horizontal="center" vertical="center" wrapText="1"/>
    </xf>
    <xf numFmtId="2" fontId="8" fillId="35" borderId="13" xfId="0" applyNumberFormat="1" applyFont="1" applyFill="1" applyBorder="1" applyAlignment="1">
      <alignment wrapText="1"/>
    </xf>
    <xf numFmtId="0" fontId="8" fillId="35" borderId="29" xfId="0" applyFont="1" applyFill="1" applyBorder="1" applyAlignment="1">
      <alignment wrapText="1"/>
    </xf>
    <xf numFmtId="2" fontId="8" fillId="35" borderId="13" xfId="63" applyNumberFormat="1" applyFont="1" applyFill="1" applyBorder="1" applyAlignment="1">
      <alignment horizontal="center" vertical="center" wrapText="1"/>
    </xf>
    <xf numFmtId="171" fontId="8" fillId="35" borderId="34" xfId="63" applyFont="1" applyFill="1" applyBorder="1" applyAlignment="1">
      <alignment horizontal="center" vertical="center"/>
    </xf>
    <xf numFmtId="171" fontId="8" fillId="0" borderId="0" xfId="63" applyFont="1" applyAlignment="1">
      <alignment horizontal="center"/>
    </xf>
    <xf numFmtId="171" fontId="0" fillId="0" borderId="0" xfId="63" applyFont="1" applyAlignment="1">
      <alignment horizontal="center"/>
    </xf>
    <xf numFmtId="2" fontId="12" fillId="0" borderId="0" xfId="0" applyNumberFormat="1" applyFont="1" applyAlignment="1">
      <alignment horizontal="center"/>
    </xf>
    <xf numFmtId="0" fontId="15" fillId="0" borderId="0" xfId="0" applyFont="1" applyAlignment="1">
      <alignment horizontal="center"/>
    </xf>
    <xf numFmtId="2" fontId="6" fillId="0" borderId="13" xfId="0" applyNumberFormat="1" applyFont="1" applyBorder="1" applyAlignment="1">
      <alignment horizontal="center" vertical="center" wrapText="1"/>
    </xf>
    <xf numFmtId="171" fontId="12" fillId="0" borderId="0" xfId="63" applyFont="1" applyAlignment="1">
      <alignment horizontal="center"/>
    </xf>
    <xf numFmtId="171" fontId="22" fillId="0" borderId="0" xfId="63" applyFont="1" applyAlignment="1">
      <alignment/>
    </xf>
    <xf numFmtId="0" fontId="8" fillId="35" borderId="12" xfId="0" applyFont="1" applyFill="1" applyBorder="1" applyAlignment="1">
      <alignment horizontal="center" vertical="top" wrapText="1"/>
    </xf>
    <xf numFmtId="0" fontId="8" fillId="0" borderId="26" xfId="0" applyFont="1" applyBorder="1" applyAlignment="1">
      <alignment horizontal="center" vertical="top" wrapText="1"/>
    </xf>
    <xf numFmtId="43" fontId="8" fillId="0" borderId="13" xfId="0" applyNumberFormat="1" applyFont="1" applyBorder="1" applyAlignment="1">
      <alignment horizontal="center" vertical="center"/>
    </xf>
    <xf numFmtId="4" fontId="8" fillId="0" borderId="12"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180" fontId="6" fillId="0" borderId="12" xfId="0" applyNumberFormat="1" applyFont="1" applyBorder="1" applyAlignment="1">
      <alignment horizontal="center"/>
    </xf>
    <xf numFmtId="171" fontId="10" fillId="0" borderId="0" xfId="63" applyFont="1" applyAlignment="1">
      <alignment/>
    </xf>
    <xf numFmtId="43" fontId="10" fillId="0" borderId="0" xfId="0" applyNumberFormat="1" applyFont="1" applyAlignment="1">
      <alignment/>
    </xf>
    <xf numFmtId="4" fontId="6" fillId="0" borderId="12" xfId="0" applyNumberFormat="1" applyFont="1" applyBorder="1" applyAlignment="1">
      <alignment/>
    </xf>
    <xf numFmtId="172" fontId="8" fillId="0" borderId="12" xfId="0" applyNumberFormat="1" applyFont="1" applyBorder="1" applyAlignment="1">
      <alignment horizontal="center" vertical="center" wrapText="1"/>
    </xf>
    <xf numFmtId="172" fontId="8" fillId="0" borderId="10" xfId="0" applyNumberFormat="1" applyFont="1" applyBorder="1" applyAlignment="1">
      <alignment horizontal="center" vertical="center" wrapText="1"/>
    </xf>
    <xf numFmtId="171" fontId="8" fillId="0" borderId="13" xfId="63" applyFont="1" applyBorder="1" applyAlignment="1">
      <alignment horizontal="left" vertical="center" wrapText="1"/>
    </xf>
    <xf numFmtId="43" fontId="10" fillId="0" borderId="0" xfId="53" applyNumberFormat="1" applyFont="1">
      <alignment/>
      <protection/>
    </xf>
    <xf numFmtId="0" fontId="8" fillId="0" borderId="12" xfId="0" applyFont="1" applyBorder="1" applyAlignment="1">
      <alignment horizontal="left" wrapText="1"/>
    </xf>
    <xf numFmtId="171" fontId="18" fillId="42" borderId="0" xfId="63" applyFont="1" applyFill="1" applyAlignment="1">
      <alignment horizontal="center" vertical="center"/>
    </xf>
    <xf numFmtId="2" fontId="18" fillId="0" borderId="0" xfId="63" applyNumberFormat="1" applyFont="1" applyAlignment="1">
      <alignment horizontal="center" vertical="center"/>
    </xf>
    <xf numFmtId="171" fontId="18" fillId="0" borderId="0" xfId="63" applyFont="1" applyAlignment="1">
      <alignment horizontal="center" vertical="center"/>
    </xf>
    <xf numFmtId="171" fontId="10" fillId="0" borderId="0" xfId="63" applyFont="1" applyAlignment="1">
      <alignment horizontal="center" vertical="center"/>
    </xf>
    <xf numFmtId="171" fontId="10" fillId="35" borderId="0" xfId="63" applyFont="1" applyFill="1" applyAlignment="1">
      <alignment horizontal="center" vertical="center"/>
    </xf>
    <xf numFmtId="2" fontId="10" fillId="0" borderId="0" xfId="63" applyNumberFormat="1" applyFont="1" applyAlignment="1">
      <alignment horizontal="center" vertical="center"/>
    </xf>
    <xf numFmtId="0" fontId="8" fillId="0" borderId="12" xfId="53" applyNumberFormat="1" applyFont="1" applyFill="1" applyBorder="1" applyAlignment="1">
      <alignment vertical="top" wrapText="1"/>
      <protection/>
    </xf>
    <xf numFmtId="4" fontId="8" fillId="0" borderId="10" xfId="53" applyNumberFormat="1" applyFont="1" applyFill="1" applyBorder="1" applyAlignment="1">
      <alignment horizontal="center" vertical="top" wrapText="1"/>
      <protection/>
    </xf>
    <xf numFmtId="0" fontId="8" fillId="19" borderId="41" xfId="53" applyFont="1" applyFill="1" applyBorder="1" applyAlignment="1">
      <alignment horizontal="center" vertical="center" wrapText="1"/>
      <protection/>
    </xf>
    <xf numFmtId="0" fontId="8" fillId="19" borderId="41" xfId="53" applyFont="1" applyFill="1" applyBorder="1" applyAlignment="1">
      <alignment vertical="top" wrapText="1"/>
      <protection/>
    </xf>
    <xf numFmtId="4" fontId="8" fillId="19" borderId="41" xfId="53" applyNumberFormat="1" applyFont="1" applyFill="1" applyBorder="1" applyAlignment="1">
      <alignment horizontal="center" vertical="top" wrapText="1"/>
      <protection/>
    </xf>
    <xf numFmtId="0" fontId="8" fillId="7" borderId="21" xfId="53" applyFont="1" applyFill="1" applyBorder="1" applyAlignment="1">
      <alignment horizontal="center" vertical="center"/>
      <protection/>
    </xf>
    <xf numFmtId="0" fontId="8" fillId="19" borderId="21" xfId="0" applyFont="1" applyFill="1" applyBorder="1" applyAlignment="1">
      <alignment horizontal="center" vertical="center" wrapText="1"/>
    </xf>
    <xf numFmtId="0" fontId="21" fillId="7" borderId="21" xfId="53" applyFont="1" applyFill="1" applyBorder="1" applyAlignment="1">
      <alignment horizontal="center" vertical="center" wrapText="1"/>
      <protection/>
    </xf>
    <xf numFmtId="0" fontId="21" fillId="7" borderId="21" xfId="0" applyFont="1" applyFill="1" applyBorder="1" applyAlignment="1">
      <alignment wrapText="1"/>
    </xf>
    <xf numFmtId="4" fontId="21" fillId="7" borderId="21" xfId="53" applyNumberFormat="1" applyFont="1" applyFill="1" applyBorder="1" applyAlignment="1">
      <alignment horizontal="center" vertical="top" wrapText="1"/>
      <protection/>
    </xf>
    <xf numFmtId="0" fontId="0" fillId="0" borderId="0" xfId="0" applyFont="1" applyAlignment="1">
      <alignment wrapText="1"/>
    </xf>
    <xf numFmtId="49" fontId="6" fillId="0" borderId="13" xfId="0" applyNumberFormat="1" applyFont="1" applyBorder="1" applyAlignment="1">
      <alignment vertical="center" wrapText="1"/>
    </xf>
    <xf numFmtId="171" fontId="12" fillId="0" borderId="0" xfId="63" applyFont="1" applyAlignment="1">
      <alignment/>
    </xf>
    <xf numFmtId="171" fontId="6" fillId="0" borderId="0" xfId="63" applyFont="1" applyAlignment="1">
      <alignment horizontal="center" vertical="center" wrapText="1"/>
    </xf>
    <xf numFmtId="171" fontId="7" fillId="0" borderId="13" xfId="63" applyFont="1" applyBorder="1" applyAlignment="1">
      <alignment horizontal="center" vertical="center" wrapText="1"/>
    </xf>
    <xf numFmtId="171" fontId="6" fillId="36" borderId="13" xfId="63" applyFont="1" applyFill="1" applyBorder="1" applyAlignment="1">
      <alignment horizontal="center" vertical="center" wrapText="1"/>
    </xf>
    <xf numFmtId="171" fontId="8" fillId="0" borderId="40" xfId="63" applyFont="1" applyFill="1" applyBorder="1" applyAlignment="1">
      <alignment horizontal="center" vertical="center" wrapText="1"/>
    </xf>
    <xf numFmtId="171" fontId="6" fillId="34" borderId="13" xfId="63" applyFont="1" applyFill="1" applyBorder="1" applyAlignment="1">
      <alignment horizontal="center" vertical="center"/>
    </xf>
    <xf numFmtId="171" fontId="6" fillId="33" borderId="13" xfId="63" applyFont="1" applyFill="1" applyBorder="1" applyAlignment="1">
      <alignment horizontal="center" vertical="top" wrapText="1"/>
    </xf>
    <xf numFmtId="171" fontId="21" fillId="34" borderId="13" xfId="63" applyFont="1" applyFill="1" applyBorder="1" applyAlignment="1">
      <alignment horizontal="center" vertical="center" wrapText="1"/>
    </xf>
    <xf numFmtId="171" fontId="12" fillId="0" borderId="13" xfId="63" applyFont="1" applyBorder="1" applyAlignment="1">
      <alignment vertical="center"/>
    </xf>
    <xf numFmtId="43" fontId="6" fillId="33" borderId="13" xfId="0" applyNumberFormat="1" applyFont="1" applyFill="1" applyBorder="1" applyAlignment="1">
      <alignment horizontal="center" vertical="center" wrapText="1"/>
    </xf>
    <xf numFmtId="4" fontId="8" fillId="35" borderId="17" xfId="53" applyNumberFormat="1" applyFont="1" applyFill="1" applyBorder="1" applyAlignment="1">
      <alignment horizontal="center" vertical="top" wrapText="1"/>
      <protection/>
    </xf>
    <xf numFmtId="4" fontId="8" fillId="0" borderId="24" xfId="53" applyNumberFormat="1" applyFont="1" applyFill="1" applyBorder="1" applyAlignment="1">
      <alignment horizontal="center" vertical="top" wrapText="1"/>
      <protection/>
    </xf>
    <xf numFmtId="4" fontId="8" fillId="0" borderId="24" xfId="53" applyNumberFormat="1" applyFont="1" applyBorder="1" applyAlignment="1">
      <alignment horizontal="center" vertical="top" wrapText="1"/>
      <protection/>
    </xf>
    <xf numFmtId="4" fontId="8" fillId="35" borderId="42" xfId="53" applyNumberFormat="1" applyFont="1" applyFill="1" applyBorder="1" applyAlignment="1">
      <alignment horizontal="center" vertical="top" wrapText="1"/>
      <protection/>
    </xf>
    <xf numFmtId="4" fontId="8" fillId="35" borderId="13" xfId="0" applyNumberFormat="1" applyFont="1" applyFill="1" applyBorder="1" applyAlignment="1">
      <alignment horizontal="right" vertical="center" wrapText="1"/>
    </xf>
    <xf numFmtId="171" fontId="30" fillId="0" borderId="0" xfId="63" applyFont="1" applyAlignment="1">
      <alignment horizontal="center" vertical="center"/>
    </xf>
    <xf numFmtId="4" fontId="8" fillId="7" borderId="13" xfId="53" applyNumberFormat="1" applyFont="1" applyFill="1" applyBorder="1" applyAlignment="1">
      <alignment horizontal="center" vertical="top" wrapText="1"/>
      <protection/>
    </xf>
    <xf numFmtId="4" fontId="8" fillId="7" borderId="28" xfId="53" applyNumberFormat="1" applyFont="1" applyFill="1" applyBorder="1" applyAlignment="1">
      <alignment horizontal="center" vertical="top" wrapText="1"/>
      <protection/>
    </xf>
    <xf numFmtId="4" fontId="8" fillId="35" borderId="13" xfId="53" applyNumberFormat="1" applyFont="1" applyFill="1" applyBorder="1" applyAlignment="1">
      <alignment horizontal="center" vertical="top" wrapText="1"/>
      <protection/>
    </xf>
    <xf numFmtId="4" fontId="8" fillId="35" borderId="28" xfId="53" applyNumberFormat="1" applyFont="1" applyFill="1" applyBorder="1" applyAlignment="1">
      <alignment horizontal="center" vertical="top" wrapText="1"/>
      <protection/>
    </xf>
    <xf numFmtId="0" fontId="8" fillId="7" borderId="29" xfId="53" applyFont="1" applyFill="1" applyBorder="1" applyAlignment="1">
      <alignment horizontal="center" vertical="center" wrapText="1"/>
      <protection/>
    </xf>
    <xf numFmtId="0" fontId="8" fillId="7" borderId="13" xfId="53" applyFont="1" applyFill="1" applyBorder="1" applyAlignment="1">
      <alignment horizontal="left" wrapText="1"/>
      <protection/>
    </xf>
    <xf numFmtId="0" fontId="8" fillId="35" borderId="13" xfId="53" applyFont="1" applyFill="1" applyBorder="1" applyAlignment="1">
      <alignment horizontal="left" vertical="top" wrapText="1"/>
      <protection/>
    </xf>
    <xf numFmtId="0" fontId="8" fillId="35" borderId="22" xfId="53" applyNumberFormat="1" applyFont="1" applyFill="1" applyBorder="1" applyAlignment="1">
      <alignment vertical="center" wrapText="1"/>
      <protection/>
    </xf>
    <xf numFmtId="4" fontId="8" fillId="35" borderId="0" xfId="0" applyNumberFormat="1" applyFont="1" applyFill="1" applyBorder="1" applyAlignment="1">
      <alignment horizontal="center" vertical="center"/>
    </xf>
    <xf numFmtId="0" fontId="8" fillId="0" borderId="39" xfId="53" applyFont="1" applyFill="1" applyBorder="1" applyAlignment="1">
      <alignment horizontal="center" vertical="center" wrapText="1"/>
      <protection/>
    </xf>
    <xf numFmtId="0" fontId="8" fillId="0" borderId="39" xfId="53" applyFont="1" applyFill="1" applyBorder="1" applyAlignment="1">
      <alignment horizontal="left" vertical="top" wrapText="1"/>
      <protection/>
    </xf>
    <xf numFmtId="4" fontId="8" fillId="35" borderId="39" xfId="53" applyNumberFormat="1" applyFont="1" applyFill="1" applyBorder="1" applyAlignment="1">
      <alignment horizontal="center" vertical="top" wrapText="1"/>
      <protection/>
    </xf>
    <xf numFmtId="171" fontId="8" fillId="0" borderId="13" xfId="63" applyFont="1" applyFill="1" applyBorder="1" applyAlignment="1">
      <alignment horizontal="right" vertical="center" wrapText="1"/>
    </xf>
    <xf numFmtId="43" fontId="22" fillId="0" borderId="0" xfId="0" applyNumberFormat="1" applyFont="1" applyAlignment="1">
      <alignment/>
    </xf>
    <xf numFmtId="0" fontId="8" fillId="14" borderId="21" xfId="53" applyFont="1" applyFill="1" applyBorder="1" applyAlignment="1">
      <alignment horizontal="center" vertical="center" wrapText="1"/>
      <protection/>
    </xf>
    <xf numFmtId="0" fontId="6" fillId="14" borderId="21" xfId="53" applyFont="1" applyFill="1" applyBorder="1" applyAlignment="1">
      <alignment wrapText="1"/>
      <protection/>
    </xf>
    <xf numFmtId="0" fontId="8" fillId="40" borderId="12" xfId="53" applyFont="1" applyFill="1" applyBorder="1" applyAlignment="1">
      <alignment horizontal="center"/>
      <protection/>
    </xf>
    <xf numFmtId="0" fontId="8" fillId="40" borderId="12" xfId="53" applyFont="1" applyFill="1" applyBorder="1" applyAlignment="1">
      <alignment wrapText="1"/>
      <protection/>
    </xf>
    <xf numFmtId="4" fontId="8" fillId="35" borderId="0" xfId="0" applyNumberFormat="1" applyFont="1" applyFill="1" applyBorder="1" applyAlignment="1">
      <alignment horizontal="center" vertical="center" wrapText="1"/>
    </xf>
    <xf numFmtId="0" fontId="22" fillId="42" borderId="0" xfId="0" applyFont="1" applyFill="1" applyAlignment="1">
      <alignment/>
    </xf>
    <xf numFmtId="0" fontId="8" fillId="0" borderId="15" xfId="53" applyFont="1" applyFill="1" applyBorder="1" applyAlignment="1">
      <alignment horizontal="center" vertical="center" wrapText="1"/>
      <protection/>
    </xf>
    <xf numFmtId="0" fontId="8" fillId="0" borderId="15" xfId="53" applyFont="1" applyFill="1" applyBorder="1" applyAlignment="1">
      <alignment horizontal="left" vertical="top" wrapText="1"/>
      <protection/>
    </xf>
    <xf numFmtId="0" fontId="8" fillId="0" borderId="0" xfId="0" applyFont="1" applyAlignment="1">
      <alignment horizontal="center"/>
    </xf>
    <xf numFmtId="0" fontId="6" fillId="0" borderId="0" xfId="0" applyFont="1" applyAlignment="1">
      <alignment horizontal="center" vertical="center" wrapText="1"/>
    </xf>
    <xf numFmtId="0" fontId="12" fillId="0" borderId="0" xfId="0" applyFont="1" applyBorder="1" applyAlignment="1">
      <alignment horizontal="left"/>
    </xf>
    <xf numFmtId="0" fontId="10" fillId="0" borderId="43" xfId="53" applyFont="1" applyBorder="1" applyAlignment="1">
      <alignment horizontal="center" vertical="center" wrapText="1"/>
      <protection/>
    </xf>
    <xf numFmtId="0" fontId="10" fillId="0" borderId="11" xfId="53" applyFont="1" applyBorder="1" applyAlignment="1">
      <alignment horizontal="center" vertical="center" wrapText="1"/>
      <protection/>
    </xf>
    <xf numFmtId="0" fontId="10" fillId="0" borderId="36" xfId="53" applyFont="1" applyBorder="1" applyAlignment="1">
      <alignment horizontal="center" vertical="center" wrapText="1"/>
      <protection/>
    </xf>
    <xf numFmtId="0" fontId="0" fillId="0" borderId="44" xfId="0" applyFont="1" applyBorder="1" applyAlignment="1">
      <alignment/>
    </xf>
    <xf numFmtId="0" fontId="10" fillId="0" borderId="22" xfId="53" applyFont="1" applyBorder="1" applyAlignment="1">
      <alignment horizontal="center" vertical="center" wrapText="1"/>
      <protection/>
    </xf>
    <xf numFmtId="0" fontId="10" fillId="0" borderId="45" xfId="53" applyFont="1" applyBorder="1" applyAlignment="1">
      <alignment horizontal="center" vertical="center" wrapText="1"/>
      <protection/>
    </xf>
    <xf numFmtId="0" fontId="10" fillId="0" borderId="18" xfId="53" applyFont="1" applyBorder="1" applyAlignment="1">
      <alignment horizontal="center" vertical="center" wrapText="1"/>
      <protection/>
    </xf>
    <xf numFmtId="0" fontId="28" fillId="0" borderId="0" xfId="0" applyFont="1" applyAlignment="1">
      <alignment horizontal="center"/>
    </xf>
    <xf numFmtId="0" fontId="28" fillId="0" borderId="0" xfId="0" applyFont="1" applyBorder="1" applyAlignment="1">
      <alignment horizontal="center"/>
    </xf>
    <xf numFmtId="0" fontId="16" fillId="0" borderId="0" xfId="53" applyFont="1" applyAlignment="1">
      <alignment horizontal="center"/>
      <protection/>
    </xf>
    <xf numFmtId="0" fontId="29" fillId="0" borderId="0" xfId="53" applyFont="1" applyAlignment="1">
      <alignment horizontal="center" vertical="center" wrapText="1"/>
      <protection/>
    </xf>
    <xf numFmtId="0" fontId="6" fillId="0" borderId="45" xfId="0" applyFont="1" applyBorder="1" applyAlignment="1">
      <alignment horizontal="center" vertical="center"/>
    </xf>
    <xf numFmtId="0" fontId="8" fillId="0" borderId="0" xfId="0" applyFont="1" applyAlignment="1">
      <alignment horizontal="right"/>
    </xf>
    <xf numFmtId="0" fontId="6" fillId="0" borderId="0" xfId="0" applyFont="1" applyAlignment="1">
      <alignment horizontal="center" wrapText="1"/>
    </xf>
    <xf numFmtId="0" fontId="6" fillId="0" borderId="12" xfId="0" applyFont="1" applyBorder="1" applyAlignment="1">
      <alignment horizontal="center" vertical="top" wrapText="1"/>
    </xf>
    <xf numFmtId="0" fontId="6" fillId="35" borderId="12" xfId="0" applyFont="1" applyFill="1" applyBorder="1" applyAlignment="1">
      <alignment horizontal="center" vertical="top" wrapText="1"/>
    </xf>
    <xf numFmtId="0" fontId="22" fillId="0" borderId="0" xfId="0" applyFont="1" applyAlignment="1">
      <alignment horizontal="right"/>
    </xf>
    <xf numFmtId="0" fontId="6"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27" fillId="0" borderId="22" xfId="0" applyFont="1" applyBorder="1" applyAlignment="1">
      <alignment horizontal="center"/>
    </xf>
    <xf numFmtId="0" fontId="27" fillId="0" borderId="45" xfId="0" applyFont="1" applyBorder="1" applyAlignment="1">
      <alignment horizontal="center"/>
    </xf>
    <xf numFmtId="0" fontId="6" fillId="0" borderId="36" xfId="0" applyFont="1" applyBorder="1" applyAlignment="1">
      <alignment horizontal="center" vertical="top" wrapText="1"/>
    </xf>
    <xf numFmtId="0" fontId="6" fillId="0" borderId="46" xfId="0" applyFont="1" applyBorder="1" applyAlignment="1">
      <alignment horizontal="center" vertical="top" wrapText="1"/>
    </xf>
    <xf numFmtId="0" fontId="27" fillId="0" borderId="26" xfId="0" applyFont="1" applyBorder="1" applyAlignment="1">
      <alignment horizontal="center" vertical="center" wrapText="1"/>
    </xf>
    <xf numFmtId="0" fontId="27" fillId="0" borderId="10" xfId="0" applyFont="1" applyBorder="1" applyAlignment="1">
      <alignment horizontal="center" vertical="center" wrapText="1"/>
    </xf>
    <xf numFmtId="0" fontId="6" fillId="0" borderId="22" xfId="0" applyFont="1" applyBorder="1" applyAlignment="1">
      <alignment horizontal="center" vertical="top" wrapText="1"/>
    </xf>
    <xf numFmtId="0" fontId="6" fillId="0" borderId="18" xfId="0" applyFont="1" applyBorder="1" applyAlignment="1">
      <alignment horizontal="center" vertical="top" wrapText="1"/>
    </xf>
    <xf numFmtId="0" fontId="6" fillId="0" borderId="26"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25" fillId="0" borderId="47" xfId="0" applyFont="1" applyBorder="1" applyAlignment="1">
      <alignment horizontal="center" vertical="center"/>
    </xf>
    <xf numFmtId="0" fontId="25" fillId="0" borderId="48"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49" xfId="0" applyNumberFormat="1" applyFont="1" applyBorder="1" applyAlignment="1">
      <alignment horizontal="center" vertical="center" wrapText="1"/>
    </xf>
    <xf numFmtId="0" fontId="8" fillId="0" borderId="0" xfId="0" applyFont="1" applyAlignment="1">
      <alignment horizontal="right" vertical="center"/>
    </xf>
    <xf numFmtId="49" fontId="7" fillId="0" borderId="13" xfId="0" applyNumberFormat="1" applyFont="1" applyBorder="1" applyAlignment="1">
      <alignment horizontal="center" vertical="center" wrapText="1"/>
    </xf>
    <xf numFmtId="0" fontId="18" fillId="0" borderId="22" xfId="0" applyFont="1" applyBorder="1" applyAlignment="1">
      <alignment horizontal="center"/>
    </xf>
    <xf numFmtId="0" fontId="18" fillId="0" borderId="45" xfId="0" applyFont="1" applyBorder="1" applyAlignment="1">
      <alignment horizontal="center"/>
    </xf>
    <xf numFmtId="0" fontId="18" fillId="0" borderId="18" xfId="0" applyFont="1" applyBorder="1" applyAlignment="1">
      <alignment horizontal="center"/>
    </xf>
    <xf numFmtId="0" fontId="6" fillId="0" borderId="32" xfId="0" applyFont="1" applyBorder="1" applyAlignment="1">
      <alignment horizontal="center" wrapText="1"/>
    </xf>
    <xf numFmtId="0" fontId="8" fillId="0" borderId="26" xfId="0" applyFont="1" applyBorder="1" applyAlignment="1">
      <alignment horizontal="center" vertical="top" wrapText="1"/>
    </xf>
    <xf numFmtId="0" fontId="8" fillId="0" borderId="10" xfId="0" applyFont="1" applyBorder="1" applyAlignment="1">
      <alignment horizontal="center" vertical="top" wrapText="1"/>
    </xf>
    <xf numFmtId="0" fontId="9" fillId="0" borderId="0" xfId="0" applyFont="1" applyBorder="1" applyAlignment="1">
      <alignment horizontal="right"/>
    </xf>
    <xf numFmtId="0" fontId="9" fillId="0" borderId="36" xfId="0" applyFont="1" applyBorder="1" applyAlignment="1">
      <alignment horizontal="center" vertical="top" wrapText="1"/>
    </xf>
    <xf numFmtId="0" fontId="9" fillId="0" borderId="46" xfId="0" applyFont="1" applyBorder="1" applyAlignment="1">
      <alignment horizontal="center" vertical="top" wrapText="1"/>
    </xf>
    <xf numFmtId="0" fontId="9" fillId="0" borderId="43" xfId="0" applyFont="1" applyBorder="1" applyAlignment="1">
      <alignment horizontal="center" vertical="top" wrapText="1"/>
    </xf>
    <xf numFmtId="0" fontId="9" fillId="0" borderId="44" xfId="0" applyFont="1" applyBorder="1" applyAlignment="1">
      <alignment horizontal="center" vertical="top" wrapText="1"/>
    </xf>
    <xf numFmtId="0" fontId="9" fillId="0" borderId="32" xfId="0" applyFont="1" applyBorder="1" applyAlignment="1">
      <alignment horizontal="center" vertical="top" wrapText="1"/>
    </xf>
    <xf numFmtId="0" fontId="9" fillId="0" borderId="11" xfId="0" applyFont="1" applyBorder="1" applyAlignment="1">
      <alignment horizontal="center" vertical="top" wrapText="1"/>
    </xf>
    <xf numFmtId="0" fontId="9" fillId="0" borderId="50" xfId="0" applyFont="1" applyBorder="1" applyAlignment="1">
      <alignment horizontal="center" vertical="top" wrapText="1"/>
    </xf>
    <xf numFmtId="0" fontId="9" fillId="0" borderId="15" xfId="0" applyFont="1" applyBorder="1" applyAlignment="1">
      <alignment horizontal="center" vertical="top" wrapText="1"/>
    </xf>
    <xf numFmtId="0" fontId="9" fillId="0" borderId="41" xfId="0" applyFont="1" applyBorder="1" applyAlignment="1">
      <alignment horizontal="center" vertical="top" wrapText="1"/>
    </xf>
    <xf numFmtId="0" fontId="9" fillId="0" borderId="51" xfId="0" applyFont="1" applyBorder="1" applyAlignment="1">
      <alignment horizontal="right"/>
    </xf>
    <xf numFmtId="0" fontId="13" fillId="0" borderId="0" xfId="0" applyFont="1" applyAlignment="1">
      <alignment horizontal="center" wrapText="1"/>
    </xf>
    <xf numFmtId="0" fontId="12" fillId="0" borderId="52" xfId="0" applyFont="1" applyBorder="1" applyAlignment="1">
      <alignment horizontal="left" vertical="top" wrapText="1"/>
    </xf>
    <xf numFmtId="0" fontId="13" fillId="0" borderId="53" xfId="0" applyFont="1" applyBorder="1" applyAlignment="1">
      <alignment horizontal="left" vertical="top" wrapText="1"/>
    </xf>
    <xf numFmtId="0" fontId="13" fillId="0" borderId="20" xfId="0" applyFont="1" applyBorder="1" applyAlignment="1">
      <alignment horizontal="left" vertical="top" wrapText="1"/>
    </xf>
    <xf numFmtId="0" fontId="12" fillId="0" borderId="0" xfId="0" applyFont="1" applyAlignment="1">
      <alignment horizontal="center" wrapText="1"/>
    </xf>
    <xf numFmtId="0" fontId="12" fillId="0" borderId="33" xfId="0" applyFont="1" applyBorder="1" applyAlignment="1">
      <alignment horizontal="center" vertical="top" wrapText="1"/>
    </xf>
    <xf numFmtId="0" fontId="12" fillId="0" borderId="41" xfId="0" applyFont="1" applyBorder="1" applyAlignment="1">
      <alignment horizontal="center" vertical="top" wrapText="1"/>
    </xf>
    <xf numFmtId="0" fontId="12" fillId="0" borderId="14" xfId="0" applyFont="1" applyBorder="1" applyAlignment="1">
      <alignment horizontal="center" vertical="top" wrapText="1"/>
    </xf>
    <xf numFmtId="0" fontId="12" fillId="0" borderId="54" xfId="0" applyFont="1" applyBorder="1" applyAlignment="1">
      <alignment horizontal="center" vertical="top" wrapText="1"/>
    </xf>
    <xf numFmtId="0" fontId="12" fillId="0" borderId="21" xfId="0" applyFont="1" applyBorder="1" applyAlignment="1">
      <alignment horizontal="left" vertical="top" wrapText="1"/>
    </xf>
    <xf numFmtId="0" fontId="12" fillId="0" borderId="53" xfId="0" applyFont="1" applyBorder="1" applyAlignment="1">
      <alignment horizontal="left" vertical="top" wrapText="1"/>
    </xf>
    <xf numFmtId="0" fontId="12" fillId="0" borderId="51"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center" vertical="top" wrapText="1"/>
    </xf>
    <xf numFmtId="0" fontId="12" fillId="0" borderId="50" xfId="0" applyFont="1" applyBorder="1" applyAlignment="1">
      <alignment horizontal="center" vertical="top" wrapText="1"/>
    </xf>
    <xf numFmtId="0" fontId="12" fillId="0" borderId="16" xfId="0" applyFont="1" applyBorder="1" applyAlignment="1">
      <alignment horizontal="center" vertical="top" wrapText="1"/>
    </xf>
    <xf numFmtId="0" fontId="12" fillId="0" borderId="55" xfId="0" applyFont="1" applyBorder="1" applyAlignment="1">
      <alignment horizontal="center" vertical="top" wrapText="1"/>
    </xf>
    <xf numFmtId="0" fontId="13" fillId="0" borderId="21" xfId="0" applyFont="1" applyBorder="1" applyAlignment="1">
      <alignment horizontal="left" vertical="top" wrapText="1"/>
    </xf>
    <xf numFmtId="0" fontId="12" fillId="0" borderId="21" xfId="0" applyFont="1" applyBorder="1" applyAlignment="1">
      <alignment horizontal="left" wrapText="1"/>
    </xf>
    <xf numFmtId="0" fontId="13" fillId="0" borderId="21" xfId="0" applyFont="1" applyBorder="1" applyAlignment="1">
      <alignment horizontal="left" wrapText="1"/>
    </xf>
    <xf numFmtId="0" fontId="12" fillId="0" borderId="52" xfId="0" applyFont="1" applyBorder="1" applyAlignment="1">
      <alignment horizontal="center"/>
    </xf>
    <xf numFmtId="0" fontId="12" fillId="0" borderId="53" xfId="0" applyFont="1" applyBorder="1" applyAlignment="1">
      <alignment horizontal="center"/>
    </xf>
    <xf numFmtId="0" fontId="12" fillId="0" borderId="20" xfId="0" applyFont="1" applyBorder="1" applyAlignment="1">
      <alignment horizontal="center"/>
    </xf>
    <xf numFmtId="179" fontId="13" fillId="0" borderId="52" xfId="0" applyNumberFormat="1" applyFont="1" applyBorder="1" applyAlignment="1">
      <alignment horizontal="center" wrapText="1"/>
    </xf>
    <xf numFmtId="179" fontId="13" fillId="0" borderId="53" xfId="0" applyNumberFormat="1" applyFont="1" applyBorder="1" applyAlignment="1">
      <alignment horizontal="center" wrapText="1"/>
    </xf>
    <xf numFmtId="179" fontId="13" fillId="0" borderId="20" xfId="0" applyNumberFormat="1" applyFont="1" applyBorder="1" applyAlignment="1">
      <alignment horizontal="center" wrapText="1"/>
    </xf>
    <xf numFmtId="179" fontId="12" fillId="0" borderId="52" xfId="0" applyNumberFormat="1" applyFont="1" applyBorder="1" applyAlignment="1">
      <alignment horizontal="center" wrapText="1"/>
    </xf>
    <xf numFmtId="179" fontId="12" fillId="0" borderId="53" xfId="0" applyNumberFormat="1" applyFont="1" applyBorder="1" applyAlignment="1">
      <alignment horizontal="center" wrapText="1"/>
    </xf>
    <xf numFmtId="179" fontId="12" fillId="0" borderId="20" xfId="0" applyNumberFormat="1" applyFont="1" applyBorder="1" applyAlignment="1">
      <alignment horizontal="center" wrapText="1"/>
    </xf>
    <xf numFmtId="0" fontId="13" fillId="0" borderId="12" xfId="0" applyFont="1" applyBorder="1" applyAlignment="1">
      <alignment horizontal="left" wrapText="1"/>
    </xf>
    <xf numFmtId="179" fontId="12" fillId="0" borderId="12" xfId="0" applyNumberFormat="1" applyFont="1" applyBorder="1" applyAlignment="1">
      <alignment horizontal="center"/>
    </xf>
    <xf numFmtId="0" fontId="13" fillId="0" borderId="0" xfId="0" applyFont="1" applyAlignment="1">
      <alignment horizontal="left" wrapText="1"/>
    </xf>
    <xf numFmtId="0" fontId="12" fillId="0" borderId="12" xfId="0" applyFont="1" applyBorder="1" applyAlignment="1">
      <alignment horizontal="center" vertical="top" wrapText="1"/>
    </xf>
    <xf numFmtId="0" fontId="19" fillId="0" borderId="12" xfId="0" applyFont="1" applyBorder="1" applyAlignment="1">
      <alignment horizontal="center"/>
    </xf>
    <xf numFmtId="0" fontId="12" fillId="0" borderId="12" xfId="0" applyFont="1" applyBorder="1" applyAlignment="1">
      <alignment horizontal="center"/>
    </xf>
    <xf numFmtId="0" fontId="12" fillId="0" borderId="12" xfId="0" applyFont="1" applyBorder="1" applyAlignment="1">
      <alignment horizontal="left" wrapText="1"/>
    </xf>
    <xf numFmtId="0" fontId="13" fillId="0" borderId="22" xfId="0" applyFont="1" applyBorder="1" applyAlignment="1">
      <alignment horizontal="left" wrapText="1"/>
    </xf>
    <xf numFmtId="0" fontId="13" fillId="0" borderId="45" xfId="0" applyFont="1" applyBorder="1" applyAlignment="1">
      <alignment horizontal="left" wrapText="1"/>
    </xf>
    <xf numFmtId="0" fontId="13" fillId="0" borderId="18" xfId="0" applyFon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80" zoomScaleSheetLayoutView="80" zoomScalePageLayoutView="0" workbookViewId="0" topLeftCell="A1">
      <selection activeCell="B13" sqref="B13"/>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spans="4:5" ht="15.75">
      <c r="D1" s="200"/>
      <c r="E1" s="35" t="s">
        <v>177</v>
      </c>
    </row>
    <row r="2" spans="4:5" ht="15.75">
      <c r="D2" s="35"/>
      <c r="E2" s="35" t="s">
        <v>109</v>
      </c>
    </row>
    <row r="3" spans="4:6" ht="18.75" customHeight="1">
      <c r="D3" s="515" t="s">
        <v>1519</v>
      </c>
      <c r="E3" s="515"/>
      <c r="F3" s="515"/>
    </row>
    <row r="4" spans="3:5" ht="18.75" customHeight="1">
      <c r="C4" s="2"/>
      <c r="D4" s="35"/>
      <c r="E4" s="200"/>
    </row>
    <row r="5" spans="1:5" ht="35.25" customHeight="1">
      <c r="A5" s="514" t="s">
        <v>1421</v>
      </c>
      <c r="B5" s="514"/>
      <c r="C5" s="514"/>
      <c r="D5" s="514"/>
      <c r="E5" s="514"/>
    </row>
    <row r="6" spans="1:7" ht="18" customHeight="1">
      <c r="A6" s="513"/>
      <c r="B6" s="513"/>
      <c r="C6" s="513"/>
      <c r="D6" s="82"/>
      <c r="E6" s="31"/>
      <c r="F6" s="31"/>
      <c r="G6" s="31"/>
    </row>
    <row r="7" spans="2:5" ht="16.5" thickBot="1">
      <c r="B7" s="4"/>
      <c r="C7" s="15"/>
      <c r="D7" s="15"/>
      <c r="E7" s="116" t="s">
        <v>674</v>
      </c>
    </row>
    <row r="8" spans="1:5" s="74" customFormat="1" ht="63.75" thickBot="1">
      <c r="A8" s="65" t="s">
        <v>50</v>
      </c>
      <c r="B8" s="64" t="s">
        <v>51</v>
      </c>
      <c r="C8" s="65" t="s">
        <v>171</v>
      </c>
      <c r="D8" s="65" t="s">
        <v>316</v>
      </c>
      <c r="E8" s="65" t="s">
        <v>317</v>
      </c>
    </row>
    <row r="9" spans="1:5" s="74" customFormat="1" ht="16.5" thickBot="1">
      <c r="A9" s="34">
        <v>1</v>
      </c>
      <c r="B9" s="33">
        <v>2</v>
      </c>
      <c r="C9" s="33">
        <v>3</v>
      </c>
      <c r="D9" s="23">
        <v>4</v>
      </c>
      <c r="E9" s="23">
        <v>5</v>
      </c>
    </row>
    <row r="10" spans="1:5" s="74" customFormat="1" ht="95.25" thickBot="1">
      <c r="A10" s="34" t="s">
        <v>52</v>
      </c>
      <c r="B10" s="75" t="s">
        <v>261</v>
      </c>
      <c r="C10" s="86">
        <v>100</v>
      </c>
      <c r="D10" s="33"/>
      <c r="E10" s="33"/>
    </row>
    <row r="11" spans="1:5" s="74" customFormat="1" ht="48" thickBot="1">
      <c r="A11" s="34" t="s">
        <v>262</v>
      </c>
      <c r="B11" s="75" t="s">
        <v>170</v>
      </c>
      <c r="C11" s="86">
        <v>100</v>
      </c>
      <c r="D11" s="33"/>
      <c r="E11" s="33"/>
    </row>
    <row r="12" spans="1:5" ht="37.5" customHeight="1" thickBot="1">
      <c r="A12" s="26" t="s">
        <v>321</v>
      </c>
      <c r="B12" s="25" t="s">
        <v>62</v>
      </c>
      <c r="C12" s="81">
        <v>100</v>
      </c>
      <c r="D12" s="32"/>
      <c r="E12" s="84"/>
    </row>
    <row r="13" spans="1:5" ht="30.75" customHeight="1" thickBot="1">
      <c r="A13" s="26" t="s">
        <v>325</v>
      </c>
      <c r="B13" s="25" t="s">
        <v>328</v>
      </c>
      <c r="C13" s="81"/>
      <c r="D13" s="32"/>
      <c r="E13" s="85">
        <v>100</v>
      </c>
    </row>
    <row r="14" spans="1:5" ht="67.5" customHeight="1" thickBot="1">
      <c r="A14" s="23" t="s">
        <v>324</v>
      </c>
      <c r="B14" s="83" t="s">
        <v>54</v>
      </c>
      <c r="C14" s="81">
        <v>100</v>
      </c>
      <c r="D14" s="32"/>
      <c r="E14" s="84"/>
    </row>
    <row r="15" spans="1:5" ht="37.5" customHeight="1" thickBot="1">
      <c r="A15" s="23" t="s">
        <v>322</v>
      </c>
      <c r="B15" s="83" t="s">
        <v>16</v>
      </c>
      <c r="C15" s="81">
        <v>100</v>
      </c>
      <c r="D15" s="32"/>
      <c r="E15" s="84"/>
    </row>
    <row r="16" spans="1:5" ht="33" customHeight="1" thickBot="1">
      <c r="A16" s="23" t="s">
        <v>326</v>
      </c>
      <c r="B16" s="83" t="s">
        <v>327</v>
      </c>
      <c r="C16" s="81"/>
      <c r="D16" s="32"/>
      <c r="E16" s="85">
        <v>100</v>
      </c>
    </row>
    <row r="17" spans="1:5" ht="33" customHeight="1" thickBot="1">
      <c r="A17" s="23" t="s">
        <v>671</v>
      </c>
      <c r="B17" s="83" t="s">
        <v>670</v>
      </c>
      <c r="C17" s="81"/>
      <c r="D17" s="32">
        <v>100</v>
      </c>
      <c r="E17" s="85"/>
    </row>
    <row r="18" spans="1:5" ht="36" customHeight="1" thickBot="1">
      <c r="A18" s="23" t="s">
        <v>323</v>
      </c>
      <c r="B18" s="83" t="s">
        <v>49</v>
      </c>
      <c r="C18" s="81">
        <v>100</v>
      </c>
      <c r="D18" s="32"/>
      <c r="E18" s="84"/>
    </row>
    <row r="19" spans="2:4" ht="81.75" customHeight="1">
      <c r="B19" s="70"/>
      <c r="C19" s="67"/>
      <c r="D19" s="67"/>
    </row>
    <row r="20" spans="2:4" ht="83.25" customHeight="1">
      <c r="B20" s="70"/>
      <c r="C20" s="67"/>
      <c r="D20" s="67"/>
    </row>
    <row r="21" spans="2:4" ht="15.75">
      <c r="B21" s="70"/>
      <c r="C21" s="67"/>
      <c r="D21" s="67"/>
    </row>
    <row r="22" spans="2:4" ht="49.5" customHeight="1">
      <c r="B22" s="70"/>
      <c r="C22" s="67"/>
      <c r="D22" s="67"/>
    </row>
    <row r="23" spans="2:4" ht="95.25" customHeight="1">
      <c r="B23" s="70"/>
      <c r="C23" s="67"/>
      <c r="D23" s="67"/>
    </row>
    <row r="24" spans="2:4" ht="69" customHeight="1">
      <c r="B24" s="70"/>
      <c r="C24" s="67"/>
      <c r="D24" s="67"/>
    </row>
    <row r="25" spans="2:4" ht="34.5" customHeight="1">
      <c r="B25" s="70"/>
      <c r="C25" s="67"/>
      <c r="D25" s="67"/>
    </row>
    <row r="26" spans="2:4" ht="37.5" customHeight="1">
      <c r="B26" s="70"/>
      <c r="C26" s="67"/>
      <c r="D26" s="67"/>
    </row>
    <row r="27" spans="2:4" ht="37.5" customHeight="1">
      <c r="B27" s="70"/>
      <c r="C27" s="67"/>
      <c r="D27" s="67"/>
    </row>
    <row r="28" spans="2:4" ht="36" customHeight="1">
      <c r="B28" s="70"/>
      <c r="C28" s="67"/>
      <c r="D28" s="67"/>
    </row>
    <row r="29" spans="2:4" ht="81" customHeight="1">
      <c r="B29" s="70"/>
      <c r="C29" s="67"/>
      <c r="D29" s="67"/>
    </row>
    <row r="30" spans="2:4" ht="82.5" customHeight="1">
      <c r="B30" s="70"/>
      <c r="C30" s="67"/>
      <c r="D30" s="67"/>
    </row>
    <row r="31" spans="2:4" ht="84" customHeight="1">
      <c r="B31" s="70"/>
      <c r="C31" s="67"/>
      <c r="D31" s="67"/>
    </row>
    <row r="32" spans="2:4" ht="99" customHeight="1">
      <c r="B32" s="70"/>
      <c r="C32" s="67"/>
      <c r="D32" s="67"/>
    </row>
    <row r="33" spans="2:4" ht="114" customHeight="1">
      <c r="B33" s="68"/>
      <c r="C33" s="67"/>
      <c r="D33" s="67"/>
    </row>
    <row r="34" spans="2:4" ht="81" customHeight="1">
      <c r="B34" s="68"/>
      <c r="C34" s="67"/>
      <c r="D34" s="67"/>
    </row>
    <row r="35" spans="2:4" ht="81" customHeight="1">
      <c r="B35" s="70"/>
      <c r="C35" s="67"/>
      <c r="D35" s="67"/>
    </row>
    <row r="36" spans="2:4" ht="51.75" customHeight="1">
      <c r="B36" s="70"/>
      <c r="C36" s="67"/>
      <c r="D36" s="67"/>
    </row>
    <row r="37" spans="2:4" ht="66.75" customHeight="1">
      <c r="B37" s="71"/>
      <c r="C37" s="67"/>
      <c r="D37" s="67"/>
    </row>
    <row r="38" spans="2:4" ht="66" customHeight="1">
      <c r="B38" s="70"/>
      <c r="C38" s="67"/>
      <c r="D38" s="67"/>
    </row>
    <row r="39" spans="2:4" ht="49.5" customHeight="1" hidden="1" thickBot="1">
      <c r="B39" s="70"/>
      <c r="C39" s="67"/>
      <c r="D39" s="67"/>
    </row>
    <row r="40" spans="2:4" ht="15.75">
      <c r="B40" s="70"/>
      <c r="C40" s="67"/>
      <c r="D40" s="67"/>
    </row>
    <row r="41" spans="2:4" ht="15.75">
      <c r="B41" s="68"/>
      <c r="C41" s="67"/>
      <c r="D41" s="67"/>
    </row>
    <row r="42" spans="2:4" ht="84" customHeight="1">
      <c r="B42" s="72"/>
      <c r="C42" s="67"/>
      <c r="D42" s="67"/>
    </row>
    <row r="43" spans="2:4" ht="15.75">
      <c r="B43" s="72"/>
      <c r="C43" s="67"/>
      <c r="D43" s="67"/>
    </row>
    <row r="44" spans="2:4" ht="15.75">
      <c r="B44" s="68"/>
      <c r="C44" s="67"/>
      <c r="D44" s="67"/>
    </row>
    <row r="45" spans="2:4" ht="15.75">
      <c r="B45" s="68"/>
      <c r="C45" s="67"/>
      <c r="D45" s="67"/>
    </row>
    <row r="46" spans="2:4" ht="15.75">
      <c r="B46" s="68"/>
      <c r="C46" s="67"/>
      <c r="D46" s="67"/>
    </row>
    <row r="47" spans="2:4" ht="15.75" hidden="1">
      <c r="B47" s="73"/>
      <c r="C47" s="67"/>
      <c r="D47" s="67"/>
    </row>
    <row r="48" spans="2:4" ht="65.25" customHeight="1" hidden="1" thickBot="1">
      <c r="B48" s="68"/>
      <c r="C48" s="67"/>
      <c r="D48" s="67"/>
    </row>
    <row r="49" spans="2:4" ht="65.25" customHeight="1" hidden="1" thickBot="1">
      <c r="B49" s="70"/>
      <c r="C49" s="67"/>
      <c r="D49" s="67"/>
    </row>
    <row r="50" spans="2:4" ht="36" customHeight="1" hidden="1" thickBot="1">
      <c r="B50" s="70"/>
      <c r="C50" s="67"/>
      <c r="D50" s="67"/>
    </row>
    <row r="51" spans="2:4" ht="36" customHeight="1" hidden="1" thickBot="1">
      <c r="B51" s="68"/>
      <c r="C51" s="67"/>
      <c r="D51" s="67"/>
    </row>
    <row r="52" spans="2:4" ht="54.75" customHeight="1" hidden="1" thickBot="1">
      <c r="B52" s="69"/>
      <c r="C52" s="67"/>
      <c r="D52" s="67"/>
    </row>
    <row r="53" spans="2:4" ht="66.75" customHeight="1" hidden="1" thickBot="1">
      <c r="B53" s="68"/>
      <c r="C53" s="67"/>
      <c r="D53" s="67"/>
    </row>
    <row r="54" spans="2:4" ht="67.5" customHeight="1" hidden="1" thickBot="1">
      <c r="B54" s="70"/>
      <c r="C54" s="67"/>
      <c r="D54" s="67"/>
    </row>
    <row r="55" spans="2:4" ht="35.25" customHeight="1" hidden="1" thickBot="1">
      <c r="B55" s="70"/>
      <c r="C55" s="67"/>
      <c r="D55" s="67"/>
    </row>
    <row r="56" spans="2:4" ht="37.5" customHeight="1" hidden="1" thickBot="1">
      <c r="B56" s="68"/>
      <c r="C56" s="67"/>
      <c r="D56" s="67"/>
    </row>
    <row r="57" spans="2:4" ht="51.75" customHeight="1">
      <c r="B57" s="69"/>
      <c r="C57" s="67"/>
      <c r="D57" s="67"/>
    </row>
    <row r="58" spans="2:4" ht="66" customHeight="1">
      <c r="B58" s="68"/>
      <c r="C58" s="67"/>
      <c r="D58" s="67"/>
    </row>
    <row r="59" spans="2:4" ht="66" customHeight="1">
      <c r="B59" s="70"/>
      <c r="C59" s="67"/>
      <c r="D59" s="67"/>
    </row>
    <row r="60" spans="2:4" ht="33.75" customHeight="1">
      <c r="B60" s="70"/>
      <c r="C60" s="67"/>
      <c r="D60" s="67"/>
    </row>
    <row r="61" spans="2:4" ht="35.25" customHeight="1">
      <c r="B61" s="68"/>
      <c r="C61" s="67"/>
      <c r="D61" s="67"/>
    </row>
    <row r="62" spans="2:4" ht="35.25" customHeight="1">
      <c r="B62" s="69"/>
      <c r="C62" s="67"/>
      <c r="D62" s="67"/>
    </row>
    <row r="63" spans="2:4" ht="36" customHeight="1">
      <c r="B63" s="68"/>
      <c r="C63" s="67"/>
      <c r="D63" s="67"/>
    </row>
    <row r="64" spans="2:4" ht="66" customHeight="1">
      <c r="B64" s="70"/>
      <c r="C64" s="67"/>
      <c r="D64" s="67"/>
    </row>
    <row r="65" spans="2:4" ht="33.75" customHeight="1">
      <c r="B65" s="66"/>
      <c r="C65" s="67"/>
      <c r="D65" s="67"/>
    </row>
    <row r="66" spans="2:4" ht="34.5" customHeight="1">
      <c r="B66" s="68"/>
      <c r="C66" s="67"/>
      <c r="D66" s="6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3">
    <mergeCell ref="A6:C6"/>
    <mergeCell ref="A5:E5"/>
    <mergeCell ref="D3:F3"/>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J49"/>
  <sheetViews>
    <sheetView view="pageBreakPreview" zoomScale="80" zoomScaleNormal="90" zoomScaleSheetLayoutView="80" zoomScalePageLayoutView="0" workbookViewId="0" topLeftCell="A28">
      <selection activeCell="F49" activeCellId="2" sqref="F17 F34 F49"/>
    </sheetView>
  </sheetViews>
  <sheetFormatPr defaultColWidth="9.140625" defaultRowHeight="12.75"/>
  <cols>
    <col min="1" max="1" width="9.140625" style="36" customWidth="1"/>
    <col min="2" max="2" width="21.7109375" style="36" customWidth="1"/>
    <col min="3" max="3" width="10.7109375" style="36" customWidth="1"/>
    <col min="4" max="4" width="12.8515625" style="36" customWidth="1"/>
    <col min="5" max="5" width="10.00390625" style="36" customWidth="1"/>
    <col min="6" max="6" width="16.140625" style="36" customWidth="1"/>
    <col min="7" max="7" width="13.7109375" style="36" customWidth="1"/>
    <col min="8" max="8" width="14.00390625" style="36" customWidth="1"/>
    <col min="9" max="9" width="13.421875" style="36" customWidth="1"/>
    <col min="10" max="10" width="17.28125" style="36" customWidth="1"/>
    <col min="11" max="16384" width="9.140625" style="36" customWidth="1"/>
  </cols>
  <sheetData>
    <row r="1" spans="1:8" ht="15.75">
      <c r="A1" s="4"/>
      <c r="B1" s="4"/>
      <c r="D1" s="31"/>
      <c r="E1" s="31"/>
      <c r="G1" s="31"/>
      <c r="H1" s="35" t="s">
        <v>15</v>
      </c>
    </row>
    <row r="2" spans="1:8" ht="15.75">
      <c r="A2" s="4"/>
      <c r="B2" s="4"/>
      <c r="E2" s="31"/>
      <c r="F2" s="31"/>
      <c r="G2" s="31"/>
      <c r="H2" s="35" t="s">
        <v>109</v>
      </c>
    </row>
    <row r="3" spans="1:8" ht="15.75">
      <c r="A3" s="4"/>
      <c r="B3" s="4"/>
      <c r="C3" s="37"/>
      <c r="E3" s="31"/>
      <c r="F3" s="31"/>
      <c r="G3" s="31" t="s">
        <v>1519</v>
      </c>
      <c r="H3" s="35"/>
    </row>
    <row r="4" spans="1:6" ht="15.75">
      <c r="A4" s="4"/>
      <c r="B4" s="4"/>
      <c r="C4" s="37"/>
      <c r="D4" s="35"/>
      <c r="E4" s="35"/>
      <c r="F4" s="35"/>
    </row>
    <row r="5" spans="1:8" ht="15.75">
      <c r="A5" s="4"/>
      <c r="B5" s="4"/>
      <c r="C5" s="1"/>
      <c r="D5" s="2"/>
      <c r="E5" s="2"/>
      <c r="H5" s="35" t="s">
        <v>624</v>
      </c>
    </row>
    <row r="6" spans="1:8" ht="65.25" customHeight="1" thickBot="1">
      <c r="A6" s="555" t="s">
        <v>1512</v>
      </c>
      <c r="B6" s="555"/>
      <c r="C6" s="555"/>
      <c r="D6" s="555"/>
      <c r="E6" s="555"/>
      <c r="F6" s="555"/>
      <c r="G6" s="555"/>
      <c r="H6" s="555"/>
    </row>
    <row r="7" spans="1:8" ht="15.75">
      <c r="A7" s="556" t="s">
        <v>225</v>
      </c>
      <c r="B7" s="556" t="s">
        <v>226</v>
      </c>
      <c r="C7" s="556" t="s">
        <v>279</v>
      </c>
      <c r="D7" s="556" t="s">
        <v>303</v>
      </c>
      <c r="E7" s="556" t="s">
        <v>309</v>
      </c>
      <c r="F7" s="444" t="s">
        <v>626</v>
      </c>
      <c r="G7" s="556" t="s">
        <v>627</v>
      </c>
      <c r="H7" s="556" t="s">
        <v>849</v>
      </c>
    </row>
    <row r="8" spans="1:8" ht="16.5" thickBot="1">
      <c r="A8" s="557"/>
      <c r="B8" s="557"/>
      <c r="C8" s="557"/>
      <c r="D8" s="557"/>
      <c r="E8" s="557"/>
      <c r="F8" s="34"/>
      <c r="G8" s="557"/>
      <c r="H8" s="557"/>
    </row>
    <row r="9" spans="1:8" ht="13.5" thickBot="1">
      <c r="A9" s="38" t="s">
        <v>149</v>
      </c>
      <c r="B9" s="552" t="s">
        <v>150</v>
      </c>
      <c r="C9" s="553"/>
      <c r="D9" s="553"/>
      <c r="E9" s="553"/>
      <c r="F9" s="553"/>
      <c r="G9" s="553"/>
      <c r="H9" s="554"/>
    </row>
    <row r="10" spans="1:8" ht="16.5" thickBot="1">
      <c r="A10" s="32">
        <v>1</v>
      </c>
      <c r="B10" s="39" t="s">
        <v>185</v>
      </c>
      <c r="C10" s="40" t="s">
        <v>630</v>
      </c>
      <c r="D10" s="40" t="s">
        <v>1507</v>
      </c>
      <c r="E10" s="40" t="s">
        <v>1508</v>
      </c>
      <c r="F10" s="446">
        <v>94723.52</v>
      </c>
      <c r="G10" s="41"/>
      <c r="H10" s="41"/>
    </row>
    <row r="11" spans="1:8" ht="16.5" thickBot="1">
      <c r="A11" s="32">
        <v>2</v>
      </c>
      <c r="B11" s="39" t="s">
        <v>186</v>
      </c>
      <c r="C11" s="40" t="s">
        <v>630</v>
      </c>
      <c r="D11" s="40" t="s">
        <v>1507</v>
      </c>
      <c r="E11" s="40" t="s">
        <v>1508</v>
      </c>
      <c r="F11" s="447">
        <f>163852.6</f>
        <v>163852.6</v>
      </c>
      <c r="G11" s="41"/>
      <c r="H11" s="41"/>
    </row>
    <row r="12" spans="1:8" ht="16.5" thickBot="1">
      <c r="A12" s="32">
        <v>3</v>
      </c>
      <c r="B12" s="39" t="s">
        <v>187</v>
      </c>
      <c r="C12" s="40" t="s">
        <v>630</v>
      </c>
      <c r="D12" s="40" t="s">
        <v>1507</v>
      </c>
      <c r="E12" s="40" t="s">
        <v>1508</v>
      </c>
      <c r="F12" s="447">
        <v>109650.5</v>
      </c>
      <c r="G12" s="41"/>
      <c r="H12" s="41"/>
    </row>
    <row r="13" spans="1:8" ht="16.5" thickBot="1">
      <c r="A13" s="32">
        <v>4</v>
      </c>
      <c r="B13" s="39" t="s">
        <v>188</v>
      </c>
      <c r="C13" s="40" t="s">
        <v>630</v>
      </c>
      <c r="D13" s="40" t="s">
        <v>1507</v>
      </c>
      <c r="E13" s="40" t="s">
        <v>1508</v>
      </c>
      <c r="F13" s="447">
        <v>42906.53</v>
      </c>
      <c r="G13" s="41"/>
      <c r="H13" s="41"/>
    </row>
    <row r="14" spans="1:8" ht="16.5" thickBot="1">
      <c r="A14" s="32">
        <v>5</v>
      </c>
      <c r="B14" s="39" t="s">
        <v>189</v>
      </c>
      <c r="C14" s="40" t="s">
        <v>630</v>
      </c>
      <c r="D14" s="40" t="s">
        <v>1507</v>
      </c>
      <c r="E14" s="40" t="s">
        <v>1508</v>
      </c>
      <c r="F14" s="447">
        <v>94359.91</v>
      </c>
      <c r="G14" s="41"/>
      <c r="H14" s="41"/>
    </row>
    <row r="15" spans="1:8" ht="16.5" thickBot="1">
      <c r="A15" s="32">
        <v>6</v>
      </c>
      <c r="B15" s="39" t="s">
        <v>190</v>
      </c>
      <c r="C15" s="40" t="s">
        <v>630</v>
      </c>
      <c r="D15" s="40" t="s">
        <v>1507</v>
      </c>
      <c r="E15" s="40" t="s">
        <v>1508</v>
      </c>
      <c r="F15" s="447">
        <v>37778.01</v>
      </c>
      <c r="G15" s="41"/>
      <c r="H15" s="41"/>
    </row>
    <row r="16" spans="1:8" ht="16.5" thickBot="1">
      <c r="A16" s="32">
        <v>7</v>
      </c>
      <c r="B16" s="39" t="s">
        <v>191</v>
      </c>
      <c r="C16" s="40" t="s">
        <v>630</v>
      </c>
      <c r="D16" s="40" t="s">
        <v>1507</v>
      </c>
      <c r="E16" s="40" t="s">
        <v>1508</v>
      </c>
      <c r="F16" s="447">
        <v>45465.36</v>
      </c>
      <c r="G16" s="41"/>
      <c r="H16" s="41"/>
    </row>
    <row r="17" spans="1:8" ht="16.5" thickBot="1">
      <c r="A17" s="39"/>
      <c r="B17" s="203" t="s">
        <v>192</v>
      </c>
      <c r="C17" s="204"/>
      <c r="D17" s="205"/>
      <c r="E17" s="204"/>
      <c r="F17" s="207">
        <f>SUM(F10:F16)</f>
        <v>588736.43</v>
      </c>
      <c r="G17" s="448">
        <f>SUM(G10:G16)</f>
        <v>0</v>
      </c>
      <c r="H17" s="448">
        <f>SUM(H10:H16)</f>
        <v>0</v>
      </c>
    </row>
    <row r="18" ht="12.75">
      <c r="F18" s="449"/>
    </row>
    <row r="19" spans="6:7" ht="12.75">
      <c r="F19" s="449"/>
      <c r="G19" s="450"/>
    </row>
    <row r="20" ht="12.75">
      <c r="F20" s="449"/>
    </row>
    <row r="22" spans="1:8" ht="15.75">
      <c r="A22" s="4"/>
      <c r="B22" s="4"/>
      <c r="C22" s="1"/>
      <c r="D22" s="2"/>
      <c r="E22" s="2"/>
      <c r="H22" s="35" t="s">
        <v>1506</v>
      </c>
    </row>
    <row r="23" spans="1:8" ht="171" customHeight="1" thickBot="1">
      <c r="A23" s="555" t="s">
        <v>1513</v>
      </c>
      <c r="B23" s="555"/>
      <c r="C23" s="555"/>
      <c r="D23" s="555"/>
      <c r="E23" s="555"/>
      <c r="F23" s="555"/>
      <c r="G23" s="555"/>
      <c r="H23" s="555"/>
    </row>
    <row r="24" spans="1:8" ht="15.75">
      <c r="A24" s="556" t="s">
        <v>225</v>
      </c>
      <c r="B24" s="556" t="s">
        <v>226</v>
      </c>
      <c r="C24" s="556" t="s">
        <v>279</v>
      </c>
      <c r="D24" s="556" t="s">
        <v>303</v>
      </c>
      <c r="E24" s="556" t="s">
        <v>309</v>
      </c>
      <c r="F24" s="444" t="s">
        <v>626</v>
      </c>
      <c r="G24" s="556" t="s">
        <v>627</v>
      </c>
      <c r="H24" s="556" t="s">
        <v>849</v>
      </c>
    </row>
    <row r="25" spans="1:8" ht="16.5" thickBot="1">
      <c r="A25" s="557"/>
      <c r="B25" s="557"/>
      <c r="C25" s="557"/>
      <c r="D25" s="557"/>
      <c r="E25" s="557"/>
      <c r="F25" s="34"/>
      <c r="G25" s="557"/>
      <c r="H25" s="557"/>
    </row>
    <row r="26" spans="1:8" ht="13.5" thickBot="1">
      <c r="A26" s="38" t="s">
        <v>149</v>
      </c>
      <c r="B26" s="552" t="s">
        <v>150</v>
      </c>
      <c r="C26" s="553"/>
      <c r="D26" s="553"/>
      <c r="E26" s="553"/>
      <c r="F26" s="553"/>
      <c r="G26" s="553"/>
      <c r="H26" s="554"/>
    </row>
    <row r="27" spans="1:10" ht="16.5" thickBot="1">
      <c r="A27" s="32">
        <v>1</v>
      </c>
      <c r="B27" s="39" t="s">
        <v>185</v>
      </c>
      <c r="C27" s="40" t="s">
        <v>96</v>
      </c>
      <c r="D27" s="40" t="s">
        <v>1510</v>
      </c>
      <c r="E27" s="40" t="s">
        <v>1508</v>
      </c>
      <c r="F27" s="446">
        <f>159191+100334.74</f>
        <v>259525.74</v>
      </c>
      <c r="G27" s="41"/>
      <c r="H27" s="41"/>
      <c r="J27" s="449"/>
    </row>
    <row r="28" spans="1:10" ht="16.5" thickBot="1">
      <c r="A28" s="32">
        <v>2</v>
      </c>
      <c r="B28" s="39" t="s">
        <v>186</v>
      </c>
      <c r="C28" s="40" t="s">
        <v>96</v>
      </c>
      <c r="D28" s="40" t="s">
        <v>1510</v>
      </c>
      <c r="E28" s="40" t="s">
        <v>1508</v>
      </c>
      <c r="F28" s="447">
        <f>436804.7+223523.8</f>
        <v>660328.5</v>
      </c>
      <c r="G28" s="41"/>
      <c r="H28" s="41"/>
      <c r="J28" s="449"/>
    </row>
    <row r="29" spans="1:10" ht="16.5" thickBot="1">
      <c r="A29" s="32">
        <v>3</v>
      </c>
      <c r="B29" s="39" t="s">
        <v>187</v>
      </c>
      <c r="C29" s="40" t="s">
        <v>96</v>
      </c>
      <c r="D29" s="40" t="s">
        <v>1510</v>
      </c>
      <c r="E29" s="40" t="s">
        <v>1508</v>
      </c>
      <c r="F29" s="447">
        <f>419332.5+205364.09</f>
        <v>624696.59</v>
      </c>
      <c r="G29" s="41"/>
      <c r="H29" s="41"/>
      <c r="J29" s="449"/>
    </row>
    <row r="30" spans="1:10" ht="16.5" thickBot="1">
      <c r="A30" s="32">
        <v>4</v>
      </c>
      <c r="B30" s="39" t="s">
        <v>188</v>
      </c>
      <c r="C30" s="40" t="s">
        <v>96</v>
      </c>
      <c r="D30" s="40" t="s">
        <v>1510</v>
      </c>
      <c r="E30" s="40" t="s">
        <v>1508</v>
      </c>
      <c r="F30" s="447">
        <f>271127.48+133065.53</f>
        <v>404193.01</v>
      </c>
      <c r="G30" s="41"/>
      <c r="H30" s="41"/>
      <c r="J30" s="449"/>
    </row>
    <row r="31" spans="1:10" ht="16.5" thickBot="1">
      <c r="A31" s="32">
        <v>5</v>
      </c>
      <c r="B31" s="39" t="s">
        <v>189</v>
      </c>
      <c r="C31" s="40" t="s">
        <v>96</v>
      </c>
      <c r="D31" s="40" t="s">
        <v>1510</v>
      </c>
      <c r="E31" s="40" t="s">
        <v>1508</v>
      </c>
      <c r="F31" s="447">
        <f>310616.7+152137.87</f>
        <v>462754.57</v>
      </c>
      <c r="G31" s="41"/>
      <c r="H31" s="41"/>
      <c r="J31" s="449"/>
    </row>
    <row r="32" spans="1:10" ht="16.5" thickBot="1">
      <c r="A32" s="32">
        <v>6</v>
      </c>
      <c r="B32" s="39" t="s">
        <v>190</v>
      </c>
      <c r="C32" s="40" t="s">
        <v>96</v>
      </c>
      <c r="D32" s="40" t="s">
        <v>1510</v>
      </c>
      <c r="E32" s="40" t="s">
        <v>1508</v>
      </c>
      <c r="F32" s="447">
        <f>252376+124302.78</f>
        <v>376678.78</v>
      </c>
      <c r="G32" s="41"/>
      <c r="H32" s="41"/>
      <c r="J32" s="449"/>
    </row>
    <row r="33" spans="1:10" ht="16.5" thickBot="1">
      <c r="A33" s="32">
        <v>7</v>
      </c>
      <c r="B33" s="39" t="s">
        <v>191</v>
      </c>
      <c r="C33" s="40" t="s">
        <v>96</v>
      </c>
      <c r="D33" s="40" t="s">
        <v>1510</v>
      </c>
      <c r="E33" s="40" t="s">
        <v>1508</v>
      </c>
      <c r="F33" s="447">
        <f>260474.64+127837.27</f>
        <v>388311.91000000003</v>
      </c>
      <c r="G33" s="41"/>
      <c r="H33" s="41"/>
      <c r="J33" s="449"/>
    </row>
    <row r="34" spans="1:10" ht="16.5" thickBot="1">
      <c r="A34" s="39"/>
      <c r="B34" s="203" t="s">
        <v>192</v>
      </c>
      <c r="C34" s="204"/>
      <c r="D34" s="205"/>
      <c r="E34" s="204"/>
      <c r="F34" s="451">
        <f>SUM(F27:F33)</f>
        <v>3176489.1000000006</v>
      </c>
      <c r="G34" s="206">
        <f>SUM(G27:G33)</f>
        <v>0</v>
      </c>
      <c r="H34" s="206">
        <f>SUM(H27:H33)</f>
        <v>0</v>
      </c>
      <c r="J34" s="449"/>
    </row>
    <row r="35" ht="12.75">
      <c r="F35" s="450"/>
    </row>
    <row r="37" spans="1:8" ht="15.75">
      <c r="A37" s="4"/>
      <c r="B37" s="4"/>
      <c r="C37" s="1"/>
      <c r="D37" s="2"/>
      <c r="E37" s="2"/>
      <c r="H37" s="35" t="s">
        <v>1509</v>
      </c>
    </row>
    <row r="38" spans="1:8" ht="82.5" customHeight="1" thickBot="1">
      <c r="A38" s="555" t="s">
        <v>1514</v>
      </c>
      <c r="B38" s="555"/>
      <c r="C38" s="555"/>
      <c r="D38" s="555"/>
      <c r="E38" s="555"/>
      <c r="F38" s="555"/>
      <c r="G38" s="555"/>
      <c r="H38" s="555"/>
    </row>
    <row r="39" spans="1:8" ht="15.75">
      <c r="A39" s="556" t="s">
        <v>225</v>
      </c>
      <c r="B39" s="556" t="s">
        <v>226</v>
      </c>
      <c r="C39" s="556" t="s">
        <v>279</v>
      </c>
      <c r="D39" s="556" t="s">
        <v>303</v>
      </c>
      <c r="E39" s="556" t="s">
        <v>309</v>
      </c>
      <c r="F39" s="444" t="s">
        <v>626</v>
      </c>
      <c r="G39" s="556" t="s">
        <v>627</v>
      </c>
      <c r="H39" s="556" t="s">
        <v>849</v>
      </c>
    </row>
    <row r="40" spans="1:8" ht="16.5" thickBot="1">
      <c r="A40" s="557"/>
      <c r="B40" s="557"/>
      <c r="C40" s="557"/>
      <c r="D40" s="557"/>
      <c r="E40" s="557"/>
      <c r="F40" s="34"/>
      <c r="G40" s="557"/>
      <c r="H40" s="557"/>
    </row>
    <row r="41" spans="1:8" ht="13.5" thickBot="1">
      <c r="A41" s="38" t="s">
        <v>149</v>
      </c>
      <c r="B41" s="552" t="s">
        <v>150</v>
      </c>
      <c r="C41" s="553"/>
      <c r="D41" s="553"/>
      <c r="E41" s="553"/>
      <c r="F41" s="553"/>
      <c r="G41" s="553"/>
      <c r="H41" s="554"/>
    </row>
    <row r="42" spans="1:8" ht="16.5" thickBot="1">
      <c r="A42" s="32">
        <v>1</v>
      </c>
      <c r="B42" s="39" t="s">
        <v>185</v>
      </c>
      <c r="C42" s="40" t="s">
        <v>630</v>
      </c>
      <c r="D42" s="40" t="s">
        <v>1511</v>
      </c>
      <c r="E42" s="40" t="s">
        <v>1508</v>
      </c>
      <c r="F42" s="452">
        <v>133980</v>
      </c>
      <c r="G42" s="41"/>
      <c r="H42" s="41"/>
    </row>
    <row r="43" spans="1:8" ht="16.5" thickBot="1">
      <c r="A43" s="32">
        <v>2</v>
      </c>
      <c r="B43" s="39" t="s">
        <v>186</v>
      </c>
      <c r="C43" s="40" t="s">
        <v>630</v>
      </c>
      <c r="D43" s="40" t="s">
        <v>1511</v>
      </c>
      <c r="E43" s="40" t="s">
        <v>1508</v>
      </c>
      <c r="F43" s="453">
        <v>74448</v>
      </c>
      <c r="G43" s="41"/>
      <c r="H43" s="41"/>
    </row>
    <row r="44" spans="1:8" ht="16.5" thickBot="1">
      <c r="A44" s="32">
        <v>3</v>
      </c>
      <c r="B44" s="39" t="s">
        <v>187</v>
      </c>
      <c r="C44" s="40" t="s">
        <v>630</v>
      </c>
      <c r="D44" s="40" t="s">
        <v>1511</v>
      </c>
      <c r="E44" s="40" t="s">
        <v>1508</v>
      </c>
      <c r="F44" s="453">
        <v>228228</v>
      </c>
      <c r="G44" s="41"/>
      <c r="H44" s="41"/>
    </row>
    <row r="45" spans="1:8" ht="16.5" thickBot="1">
      <c r="A45" s="32">
        <v>4</v>
      </c>
      <c r="B45" s="39" t="s">
        <v>188</v>
      </c>
      <c r="C45" s="40" t="s">
        <v>630</v>
      </c>
      <c r="D45" s="40" t="s">
        <v>1511</v>
      </c>
      <c r="E45" s="40" t="s">
        <v>1508</v>
      </c>
      <c r="F45" s="453">
        <v>124080</v>
      </c>
      <c r="G45" s="41"/>
      <c r="H45" s="41"/>
    </row>
    <row r="46" spans="1:8" ht="16.5" thickBot="1">
      <c r="A46" s="32">
        <v>5</v>
      </c>
      <c r="B46" s="39" t="s">
        <v>189</v>
      </c>
      <c r="C46" s="40" t="s">
        <v>630</v>
      </c>
      <c r="D46" s="40" t="s">
        <v>1511</v>
      </c>
      <c r="E46" s="40" t="s">
        <v>1508</v>
      </c>
      <c r="F46" s="453">
        <v>401940</v>
      </c>
      <c r="G46" s="41"/>
      <c r="H46" s="41"/>
    </row>
    <row r="47" spans="1:8" ht="16.5" thickBot="1">
      <c r="A47" s="32">
        <v>6</v>
      </c>
      <c r="B47" s="39" t="s">
        <v>190</v>
      </c>
      <c r="C47" s="40" t="s">
        <v>630</v>
      </c>
      <c r="D47" s="40" t="s">
        <v>1511</v>
      </c>
      <c r="E47" s="40" t="s">
        <v>1508</v>
      </c>
      <c r="F47" s="453">
        <v>109164</v>
      </c>
      <c r="G47" s="41"/>
      <c r="H47" s="41"/>
    </row>
    <row r="48" spans="1:8" ht="16.5" thickBot="1">
      <c r="A48" s="32">
        <v>7</v>
      </c>
      <c r="B48" s="39" t="s">
        <v>191</v>
      </c>
      <c r="C48" s="40" t="s">
        <v>630</v>
      </c>
      <c r="D48" s="40" t="s">
        <v>1511</v>
      </c>
      <c r="E48" s="40" t="s">
        <v>1508</v>
      </c>
      <c r="F48" s="453">
        <v>248160</v>
      </c>
      <c r="G48" s="41"/>
      <c r="H48" s="41"/>
    </row>
    <row r="49" spans="1:8" ht="16.5" thickBot="1">
      <c r="A49" s="39"/>
      <c r="B49" s="203" t="s">
        <v>192</v>
      </c>
      <c r="C49" s="204"/>
      <c r="D49" s="205"/>
      <c r="E49" s="204"/>
      <c r="F49" s="206">
        <f>SUM(F42:F48)</f>
        <v>1320000</v>
      </c>
      <c r="G49" s="206">
        <f>SUM(G42:G48)</f>
        <v>0</v>
      </c>
      <c r="H49" s="206">
        <f>SUM(H42:H48)</f>
        <v>0</v>
      </c>
    </row>
  </sheetData>
  <sheetProtection/>
  <mergeCells count="27">
    <mergeCell ref="A6:H6"/>
    <mergeCell ref="A7:A8"/>
    <mergeCell ref="B7:B8"/>
    <mergeCell ref="C7:C8"/>
    <mergeCell ref="D7:D8"/>
    <mergeCell ref="E7:E8"/>
    <mergeCell ref="G7:G8"/>
    <mergeCell ref="H7:H8"/>
    <mergeCell ref="B9:H9"/>
    <mergeCell ref="A23:H23"/>
    <mergeCell ref="A24:A25"/>
    <mergeCell ref="B24:B25"/>
    <mergeCell ref="C24:C25"/>
    <mergeCell ref="D24:D25"/>
    <mergeCell ref="E24:E25"/>
    <mergeCell ref="G24:G25"/>
    <mergeCell ref="H24:H25"/>
    <mergeCell ref="B41:H41"/>
    <mergeCell ref="B26:H26"/>
    <mergeCell ref="A38:H38"/>
    <mergeCell ref="A39:A40"/>
    <mergeCell ref="B39:B40"/>
    <mergeCell ref="C39:C40"/>
    <mergeCell ref="D39:D40"/>
    <mergeCell ref="E39:E40"/>
    <mergeCell ref="G39:G40"/>
    <mergeCell ref="H39:H40"/>
  </mergeCells>
  <printOptions/>
  <pageMargins left="0.75" right="0.49" top="1" bottom="1" header="0.5" footer="0.5"/>
  <pageSetup fitToHeight="0"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B4" sqref="B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528" t="s">
        <v>672</v>
      </c>
      <c r="D1" s="528"/>
    </row>
    <row r="2" spans="1:4" ht="15.75">
      <c r="A2" s="528" t="s">
        <v>145</v>
      </c>
      <c r="B2" s="528"/>
      <c r="C2" s="528"/>
      <c r="D2" s="528"/>
    </row>
    <row r="3" spans="2:4" ht="15.75">
      <c r="B3" s="528" t="s">
        <v>1519</v>
      </c>
      <c r="C3" s="528"/>
      <c r="D3" s="528"/>
    </row>
    <row r="4" spans="1:2" ht="15.75">
      <c r="A4" s="3"/>
      <c r="B4" s="4"/>
    </row>
    <row r="5" spans="1:4" ht="37.5" customHeight="1">
      <c r="A5" s="529" t="s">
        <v>1457</v>
      </c>
      <c r="B5" s="529"/>
      <c r="C5" s="529"/>
      <c r="D5" s="529"/>
    </row>
    <row r="6" spans="1:4" ht="16.5" thickBot="1">
      <c r="A6" s="568"/>
      <c r="B6" s="558"/>
      <c r="C6" s="558"/>
      <c r="D6" s="558"/>
    </row>
    <row r="7" spans="1:4" ht="15.75" customHeight="1">
      <c r="A7" s="565" t="s">
        <v>146</v>
      </c>
      <c r="B7" s="559" t="s">
        <v>203</v>
      </c>
      <c r="C7" s="560"/>
      <c r="D7" s="561"/>
    </row>
    <row r="8" spans="1:4" ht="13.5" thickBot="1">
      <c r="A8" s="566"/>
      <c r="B8" s="562"/>
      <c r="C8" s="563"/>
      <c r="D8" s="564"/>
    </row>
    <row r="9" spans="1:4" ht="16.5" thickBot="1">
      <c r="A9" s="567"/>
      <c r="B9" s="99" t="s">
        <v>626</v>
      </c>
      <c r="C9" s="99" t="s">
        <v>627</v>
      </c>
      <c r="D9" s="99" t="s">
        <v>849</v>
      </c>
    </row>
    <row r="10" spans="1:4" ht="38.25" customHeight="1" thickBot="1">
      <c r="A10" s="46" t="s">
        <v>3</v>
      </c>
      <c r="B10" s="100">
        <v>0</v>
      </c>
      <c r="C10" s="100">
        <v>0</v>
      </c>
      <c r="D10" s="100">
        <v>0</v>
      </c>
    </row>
    <row r="11" spans="1:4" ht="32.25" thickBot="1">
      <c r="A11" s="42" t="s">
        <v>291</v>
      </c>
      <c r="B11" s="94">
        <v>0</v>
      </c>
      <c r="C11" s="94">
        <v>0</v>
      </c>
      <c r="D11" s="94">
        <v>0</v>
      </c>
    </row>
    <row r="12" spans="1:4" ht="16.5" thickBot="1">
      <c r="A12" s="42" t="s">
        <v>30</v>
      </c>
      <c r="B12" s="95">
        <v>0</v>
      </c>
      <c r="C12" s="95">
        <v>0</v>
      </c>
      <c r="D12" s="95">
        <v>0</v>
      </c>
    </row>
    <row r="13" spans="1:4" ht="16.5" thickBot="1">
      <c r="A13" s="43" t="s">
        <v>31</v>
      </c>
      <c r="B13" s="95">
        <v>0</v>
      </c>
      <c r="C13" s="95">
        <v>0</v>
      </c>
      <c r="D13" s="95">
        <v>0</v>
      </c>
    </row>
    <row r="14" spans="1:4" ht="16.5" thickBot="1">
      <c r="A14" s="44" t="s">
        <v>32</v>
      </c>
      <c r="B14" s="96">
        <v>0</v>
      </c>
      <c r="C14" s="96">
        <v>0</v>
      </c>
      <c r="D14" s="96">
        <v>0</v>
      </c>
    </row>
    <row r="15" spans="1:4" ht="16.5" thickBot="1">
      <c r="A15" s="93" t="s">
        <v>30</v>
      </c>
      <c r="B15" s="97">
        <v>0</v>
      </c>
      <c r="C15" s="97">
        <v>0</v>
      </c>
      <c r="D15" s="97">
        <v>0</v>
      </c>
    </row>
    <row r="16" spans="1:4" ht="16.5" thickBot="1">
      <c r="A16" s="45" t="s">
        <v>33</v>
      </c>
      <c r="B16" s="96">
        <v>0</v>
      </c>
      <c r="C16" s="96">
        <v>0</v>
      </c>
      <c r="D16" s="96">
        <v>0</v>
      </c>
    </row>
    <row r="17" spans="1:4" ht="32.25" thickBot="1">
      <c r="A17" s="93" t="s">
        <v>34</v>
      </c>
      <c r="B17" s="97">
        <v>0</v>
      </c>
      <c r="C17" s="97">
        <v>0</v>
      </c>
      <c r="D17" s="97">
        <v>0</v>
      </c>
    </row>
    <row r="18" spans="1:4" ht="32.25" thickBot="1">
      <c r="A18" s="42" t="s">
        <v>35</v>
      </c>
      <c r="B18" s="98">
        <v>0</v>
      </c>
      <c r="C18" s="98">
        <v>0</v>
      </c>
      <c r="D18" s="98">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SheetLayoutView="100" zoomScalePageLayoutView="0" workbookViewId="0" topLeftCell="A1">
      <selection activeCell="K4" sqref="K4"/>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5.75">
      <c r="B1" s="47"/>
      <c r="C1" s="47"/>
      <c r="D1" s="47"/>
      <c r="E1" s="47"/>
      <c r="F1" s="528" t="s">
        <v>673</v>
      </c>
      <c r="G1" s="528"/>
      <c r="H1" s="528"/>
      <c r="I1" s="528"/>
      <c r="J1" s="528"/>
      <c r="K1" s="528"/>
    </row>
    <row r="2" spans="2:11" ht="15.75">
      <c r="B2" s="47"/>
      <c r="C2" s="47"/>
      <c r="D2" s="47"/>
      <c r="E2" s="47"/>
      <c r="F2" s="37"/>
      <c r="G2" s="37"/>
      <c r="H2" s="37"/>
      <c r="I2" s="35"/>
      <c r="J2" s="35"/>
      <c r="K2" s="35" t="s">
        <v>145</v>
      </c>
    </row>
    <row r="3" spans="2:11" ht="15.75">
      <c r="B3" s="47"/>
      <c r="C3" s="47"/>
      <c r="D3" s="47"/>
      <c r="E3" s="47"/>
      <c r="F3" s="37"/>
      <c r="G3" s="37"/>
      <c r="H3" s="37"/>
      <c r="I3" s="35"/>
      <c r="J3" s="35"/>
      <c r="K3" s="35" t="s">
        <v>1519</v>
      </c>
    </row>
    <row r="4" spans="2:11" ht="14.25">
      <c r="B4" s="47"/>
      <c r="C4" s="47"/>
      <c r="D4" s="47"/>
      <c r="E4" s="47"/>
      <c r="F4" s="49"/>
      <c r="G4" s="49"/>
      <c r="H4" s="49"/>
      <c r="I4" s="48"/>
      <c r="J4" s="48"/>
      <c r="K4" s="48"/>
    </row>
    <row r="5" spans="2:11" ht="14.25">
      <c r="B5" s="47"/>
      <c r="C5" s="47"/>
      <c r="D5" s="47"/>
      <c r="E5" s="47"/>
      <c r="F5" s="49"/>
      <c r="G5" s="49"/>
      <c r="H5" s="49"/>
      <c r="I5" s="48"/>
      <c r="J5" s="48"/>
      <c r="K5" s="48"/>
    </row>
    <row r="6" spans="2:11" ht="35.25" customHeight="1">
      <c r="B6" s="569" t="s">
        <v>1445</v>
      </c>
      <c r="C6" s="569"/>
      <c r="D6" s="569"/>
      <c r="E6" s="569"/>
      <c r="F6" s="569"/>
      <c r="G6" s="569"/>
      <c r="H6" s="569"/>
      <c r="I6" s="569"/>
      <c r="J6" s="569"/>
      <c r="K6" s="569"/>
    </row>
    <row r="7" spans="2:11" ht="31.5" customHeight="1">
      <c r="B7" s="573" t="s">
        <v>1446</v>
      </c>
      <c r="C7" s="573"/>
      <c r="D7" s="573"/>
      <c r="E7" s="573"/>
      <c r="F7" s="573"/>
      <c r="G7" s="573"/>
      <c r="H7" s="573"/>
      <c r="I7" s="573"/>
      <c r="J7" s="573"/>
      <c r="K7" s="573"/>
    </row>
    <row r="8" spans="2:11" ht="15.75" thickBot="1">
      <c r="B8" s="50"/>
      <c r="C8" s="50"/>
      <c r="D8" s="50"/>
      <c r="E8" s="50"/>
      <c r="F8" s="50"/>
      <c r="G8" s="50"/>
      <c r="H8" s="50"/>
      <c r="I8" s="50"/>
      <c r="J8" s="50"/>
      <c r="K8" s="50"/>
    </row>
    <row r="9" spans="2:11" ht="15.75" customHeight="1" thickBot="1">
      <c r="B9" s="574" t="s">
        <v>225</v>
      </c>
      <c r="C9" s="574" t="s">
        <v>36</v>
      </c>
      <c r="D9" s="574" t="s">
        <v>65</v>
      </c>
      <c r="E9" s="583" t="s">
        <v>552</v>
      </c>
      <c r="F9" s="584"/>
      <c r="G9" s="584"/>
      <c r="H9" s="585"/>
      <c r="I9" s="574" t="s">
        <v>300</v>
      </c>
      <c r="J9" s="574" t="s">
        <v>301</v>
      </c>
      <c r="K9" s="574" t="s">
        <v>302</v>
      </c>
    </row>
    <row r="10" spans="2:11" ht="64.5" customHeight="1" thickBot="1">
      <c r="B10" s="575"/>
      <c r="C10" s="575"/>
      <c r="D10" s="576"/>
      <c r="E10" s="110" t="s">
        <v>625</v>
      </c>
      <c r="F10" s="108" t="s">
        <v>626</v>
      </c>
      <c r="G10" s="108" t="s">
        <v>627</v>
      </c>
      <c r="H10" s="108" t="s">
        <v>849</v>
      </c>
      <c r="I10" s="577"/>
      <c r="J10" s="575"/>
      <c r="K10" s="575"/>
    </row>
    <row r="11" spans="2:11" ht="21" customHeight="1" thickBot="1">
      <c r="B11" s="570" t="s">
        <v>1447</v>
      </c>
      <c r="C11" s="579"/>
      <c r="D11" s="579"/>
      <c r="E11" s="580"/>
      <c r="F11" s="580"/>
      <c r="G11" s="580"/>
      <c r="H11" s="580"/>
      <c r="I11" s="579"/>
      <c r="J11" s="579"/>
      <c r="K11" s="581"/>
    </row>
    <row r="12" spans="2:11" ht="15">
      <c r="B12" s="51"/>
      <c r="C12" s="51"/>
      <c r="D12" s="51"/>
      <c r="E12" s="51"/>
      <c r="F12" s="51"/>
      <c r="G12" s="51"/>
      <c r="H12" s="51"/>
      <c r="I12" s="51"/>
      <c r="J12" s="51"/>
      <c r="K12" s="51"/>
    </row>
    <row r="13" spans="2:11" ht="55.5" customHeight="1">
      <c r="B13" s="573" t="s">
        <v>1448</v>
      </c>
      <c r="C13" s="573"/>
      <c r="D13" s="573"/>
      <c r="E13" s="573"/>
      <c r="F13" s="573"/>
      <c r="G13" s="573"/>
      <c r="H13" s="573"/>
      <c r="I13" s="573"/>
      <c r="J13" s="573"/>
      <c r="K13" s="573"/>
    </row>
    <row r="14" spans="2:11" ht="15.75" thickBot="1">
      <c r="B14" s="50"/>
      <c r="C14" s="50"/>
      <c r="D14" s="50"/>
      <c r="E14" s="50"/>
      <c r="F14" s="50"/>
      <c r="G14" s="50"/>
      <c r="H14" s="50"/>
      <c r="I14" s="50"/>
      <c r="J14" s="50"/>
      <c r="K14" s="50"/>
    </row>
    <row r="15" spans="2:11" ht="51" customHeight="1" thickBot="1">
      <c r="B15" s="582" t="s">
        <v>227</v>
      </c>
      <c r="C15" s="582"/>
      <c r="D15" s="582"/>
      <c r="E15" s="582"/>
      <c r="F15" s="582" t="s">
        <v>550</v>
      </c>
      <c r="G15" s="582"/>
      <c r="H15" s="582"/>
      <c r="I15" s="582"/>
      <c r="J15" s="582"/>
      <c r="K15" s="582"/>
    </row>
    <row r="16" spans="2:11" ht="15.75" customHeight="1" thickBot="1">
      <c r="B16" s="582"/>
      <c r="C16" s="582"/>
      <c r="D16" s="582"/>
      <c r="E16" s="582"/>
      <c r="F16" s="88" t="s">
        <v>626</v>
      </c>
      <c r="G16" s="88" t="s">
        <v>627</v>
      </c>
      <c r="H16" s="88" t="s">
        <v>849</v>
      </c>
      <c r="I16" s="88" t="s">
        <v>996</v>
      </c>
      <c r="J16" s="88" t="s">
        <v>1207</v>
      </c>
      <c r="K16" s="88" t="s">
        <v>1449</v>
      </c>
    </row>
    <row r="17" spans="2:11" ht="49.5" customHeight="1" thickBot="1">
      <c r="B17" s="578" t="s">
        <v>28</v>
      </c>
      <c r="C17" s="578"/>
      <c r="D17" s="578"/>
      <c r="E17" s="578"/>
      <c r="F17" s="111">
        <v>0</v>
      </c>
      <c r="G17" s="111">
        <v>0</v>
      </c>
      <c r="H17" s="111">
        <v>0</v>
      </c>
      <c r="I17" s="111">
        <v>0</v>
      </c>
      <c r="J17" s="111">
        <v>0</v>
      </c>
      <c r="K17" s="111">
        <v>0</v>
      </c>
    </row>
    <row r="18" spans="2:11" ht="15">
      <c r="B18" s="52"/>
      <c r="C18" s="51"/>
      <c r="D18" s="51"/>
      <c r="E18" s="51"/>
      <c r="F18" s="51"/>
      <c r="G18" s="51"/>
      <c r="H18" s="51"/>
      <c r="I18" s="51"/>
      <c r="J18" s="51"/>
      <c r="K18" s="51"/>
    </row>
    <row r="19" spans="2:11" ht="32.25" customHeight="1">
      <c r="B19" s="569" t="s">
        <v>1450</v>
      </c>
      <c r="C19" s="569"/>
      <c r="D19" s="569"/>
      <c r="E19" s="569"/>
      <c r="F19" s="569"/>
      <c r="G19" s="569"/>
      <c r="H19" s="569"/>
      <c r="I19" s="569"/>
      <c r="J19" s="569"/>
      <c r="K19" s="569"/>
    </row>
    <row r="20" spans="2:11" ht="15.75" thickBot="1">
      <c r="B20" s="53"/>
      <c r="C20" s="18"/>
      <c r="D20" s="18"/>
      <c r="E20" s="18"/>
      <c r="F20" s="18"/>
      <c r="G20" s="18"/>
      <c r="H20" s="18"/>
      <c r="I20" s="18"/>
      <c r="J20" s="18"/>
      <c r="K20" s="30"/>
    </row>
    <row r="21" spans="2:11" ht="15.75" thickBot="1">
      <c r="B21" s="582" t="s">
        <v>146</v>
      </c>
      <c r="C21" s="582"/>
      <c r="D21" s="582"/>
      <c r="E21" s="582"/>
      <c r="F21" s="582" t="s">
        <v>203</v>
      </c>
      <c r="G21" s="582"/>
      <c r="H21" s="582"/>
      <c r="I21" s="582"/>
      <c r="J21" s="582"/>
      <c r="K21" s="582"/>
    </row>
    <row r="22" spans="2:11" ht="15.75" thickBot="1">
      <c r="B22" s="582"/>
      <c r="C22" s="582"/>
      <c r="D22" s="582"/>
      <c r="E22" s="582"/>
      <c r="F22" s="89" t="s">
        <v>626</v>
      </c>
      <c r="G22" s="89" t="s">
        <v>627</v>
      </c>
      <c r="H22" s="89" t="s">
        <v>849</v>
      </c>
      <c r="I22" s="589"/>
      <c r="J22" s="590"/>
      <c r="K22" s="591"/>
    </row>
    <row r="23" spans="2:11" ht="32.25" customHeight="1" thickBot="1">
      <c r="B23" s="588" t="s">
        <v>551</v>
      </c>
      <c r="C23" s="588"/>
      <c r="D23" s="588"/>
      <c r="E23" s="588"/>
      <c r="F23" s="91"/>
      <c r="G23" s="91"/>
      <c r="H23" s="91"/>
      <c r="I23" s="592">
        <v>0</v>
      </c>
      <c r="J23" s="593"/>
      <c r="K23" s="594"/>
    </row>
    <row r="24" spans="2:11" ht="15.75" thickBot="1">
      <c r="B24" s="587" t="s">
        <v>282</v>
      </c>
      <c r="C24" s="587"/>
      <c r="D24" s="587"/>
      <c r="E24" s="587"/>
      <c r="F24" s="90"/>
      <c r="G24" s="90"/>
      <c r="H24" s="90"/>
      <c r="I24" s="595">
        <v>0</v>
      </c>
      <c r="J24" s="596"/>
      <c r="K24" s="597"/>
    </row>
    <row r="25" spans="2:11" ht="15.75" thickBot="1">
      <c r="B25" s="587" t="s">
        <v>33</v>
      </c>
      <c r="C25" s="587"/>
      <c r="D25" s="587"/>
      <c r="E25" s="587"/>
      <c r="F25" s="90"/>
      <c r="G25" s="90"/>
      <c r="H25" s="90"/>
      <c r="I25" s="595">
        <v>0</v>
      </c>
      <c r="J25" s="596"/>
      <c r="K25" s="597"/>
    </row>
    <row r="26" spans="2:11" ht="45" customHeight="1" thickBot="1">
      <c r="B26" s="586" t="s">
        <v>81</v>
      </c>
      <c r="C26" s="586"/>
      <c r="D26" s="586"/>
      <c r="E26" s="586"/>
      <c r="F26" s="91"/>
      <c r="G26" s="91"/>
      <c r="H26" s="91"/>
      <c r="I26" s="592">
        <v>0</v>
      </c>
      <c r="J26" s="593"/>
      <c r="K26" s="594"/>
    </row>
    <row r="27" spans="2:11" ht="15.75" thickBot="1">
      <c r="B27" s="570" t="s">
        <v>282</v>
      </c>
      <c r="C27" s="571"/>
      <c r="D27" s="571"/>
      <c r="E27" s="572"/>
      <c r="F27" s="87"/>
      <c r="G27" s="87"/>
      <c r="H27" s="87"/>
      <c r="I27" s="595">
        <v>0</v>
      </c>
      <c r="J27" s="596"/>
      <c r="K27" s="597"/>
    </row>
    <row r="28" spans="2:11" ht="15.75" thickBot="1">
      <c r="B28" s="578" t="s">
        <v>33</v>
      </c>
      <c r="C28" s="578"/>
      <c r="D28" s="578"/>
      <c r="E28" s="578"/>
      <c r="F28" s="90"/>
      <c r="G28" s="90"/>
      <c r="H28" s="90"/>
      <c r="I28" s="595">
        <v>0</v>
      </c>
      <c r="J28" s="596"/>
      <c r="K28" s="597"/>
    </row>
    <row r="29" spans="2:11" ht="15" thickBot="1">
      <c r="B29" s="586" t="s">
        <v>82</v>
      </c>
      <c r="C29" s="586"/>
      <c r="D29" s="586"/>
      <c r="E29" s="586"/>
      <c r="F29" s="91"/>
      <c r="G29" s="91"/>
      <c r="H29" s="91"/>
      <c r="I29" s="592">
        <v>0</v>
      </c>
      <c r="J29" s="593"/>
      <c r="K29" s="594"/>
    </row>
    <row r="30" spans="2:11" ht="15.75" thickBot="1">
      <c r="B30" s="587" t="s">
        <v>282</v>
      </c>
      <c r="C30" s="587"/>
      <c r="D30" s="587"/>
      <c r="E30" s="587"/>
      <c r="F30" s="90"/>
      <c r="G30" s="90"/>
      <c r="H30" s="90"/>
      <c r="I30" s="595">
        <v>0</v>
      </c>
      <c r="J30" s="596"/>
      <c r="K30" s="597"/>
    </row>
    <row r="31" spans="2:11" ht="15.75" thickBot="1">
      <c r="B31" s="587" t="s">
        <v>33</v>
      </c>
      <c r="C31" s="587"/>
      <c r="D31" s="587"/>
      <c r="E31" s="587"/>
      <c r="F31" s="90"/>
      <c r="G31" s="90"/>
      <c r="H31" s="90"/>
      <c r="I31" s="595">
        <v>0</v>
      </c>
      <c r="J31" s="596"/>
      <c r="K31" s="597"/>
    </row>
    <row r="32" spans="2:11" ht="45.75" customHeight="1" thickBot="1">
      <c r="B32" s="586" t="s">
        <v>234</v>
      </c>
      <c r="C32" s="586"/>
      <c r="D32" s="586"/>
      <c r="E32" s="586"/>
      <c r="F32" s="91"/>
      <c r="G32" s="91"/>
      <c r="H32" s="91"/>
      <c r="I32" s="592">
        <v>0</v>
      </c>
      <c r="J32" s="593"/>
      <c r="K32" s="594"/>
    </row>
    <row r="33" spans="2:11" ht="46.5" customHeight="1" thickBot="1">
      <c r="B33" s="587" t="s">
        <v>218</v>
      </c>
      <c r="C33" s="587"/>
      <c r="D33" s="587"/>
      <c r="E33" s="587"/>
      <c r="F33" s="90"/>
      <c r="G33" s="90"/>
      <c r="H33" s="90"/>
      <c r="I33" s="595">
        <v>0</v>
      </c>
      <c r="J33" s="596"/>
      <c r="K33" s="597"/>
    </row>
    <row r="34" spans="2:11" ht="15">
      <c r="B34" s="47"/>
      <c r="C34" s="47"/>
      <c r="D34" s="47"/>
      <c r="E34" s="47"/>
      <c r="F34" s="18"/>
      <c r="G34" s="18"/>
      <c r="H34" s="18"/>
      <c r="I34" s="18"/>
      <c r="J34" s="18"/>
      <c r="K34" s="18"/>
    </row>
    <row r="35" spans="2:11" ht="30.75" customHeight="1">
      <c r="B35" s="569" t="s">
        <v>997</v>
      </c>
      <c r="C35" s="569"/>
      <c r="D35" s="569"/>
      <c r="E35" s="569"/>
      <c r="F35" s="569"/>
      <c r="G35" s="569"/>
      <c r="H35" s="569"/>
      <c r="I35" s="569"/>
      <c r="J35" s="569"/>
      <c r="K35" s="569"/>
    </row>
    <row r="36" spans="2:11" ht="35.25" customHeight="1" thickBot="1">
      <c r="B36" s="600" t="s">
        <v>998</v>
      </c>
      <c r="C36" s="600"/>
      <c r="D36" s="600"/>
      <c r="E36" s="600"/>
      <c r="F36" s="600"/>
      <c r="G36" s="600"/>
      <c r="H36" s="600"/>
      <c r="I36" s="600"/>
      <c r="J36" s="600"/>
      <c r="K36" s="600"/>
    </row>
    <row r="37" spans="2:11" ht="62.25" customHeight="1" thickBot="1">
      <c r="B37" s="601" t="s">
        <v>554</v>
      </c>
      <c r="C37" s="601"/>
      <c r="D37" s="601"/>
      <c r="E37" s="601"/>
      <c r="F37" s="601" t="s">
        <v>553</v>
      </c>
      <c r="G37" s="601"/>
      <c r="H37" s="601"/>
      <c r="I37" s="601"/>
      <c r="J37" s="601"/>
      <c r="K37" s="601"/>
    </row>
    <row r="38" spans="2:11" ht="15.75" thickBot="1">
      <c r="B38" s="598" t="s">
        <v>850</v>
      </c>
      <c r="C38" s="598"/>
      <c r="D38" s="598"/>
      <c r="E38" s="92">
        <v>0</v>
      </c>
      <c r="F38" s="598" t="s">
        <v>850</v>
      </c>
      <c r="G38" s="598"/>
      <c r="H38" s="598"/>
      <c r="I38" s="598"/>
      <c r="J38" s="599">
        <v>0</v>
      </c>
      <c r="K38" s="599"/>
    </row>
    <row r="39" spans="2:11" ht="15.75" thickBot="1">
      <c r="B39" s="602"/>
      <c r="C39" s="602"/>
      <c r="D39" s="602"/>
      <c r="E39" s="92"/>
      <c r="F39" s="603"/>
      <c r="G39" s="603"/>
      <c r="H39" s="603"/>
      <c r="I39" s="603"/>
      <c r="J39" s="599"/>
      <c r="K39" s="599"/>
    </row>
    <row r="40" spans="2:11" ht="30" customHeight="1" thickBot="1">
      <c r="B40" s="598" t="s">
        <v>999</v>
      </c>
      <c r="C40" s="598"/>
      <c r="D40" s="598"/>
      <c r="E40" s="92">
        <v>0</v>
      </c>
      <c r="F40" s="598" t="s">
        <v>999</v>
      </c>
      <c r="G40" s="598"/>
      <c r="H40" s="598"/>
      <c r="I40" s="598"/>
      <c r="J40" s="599">
        <v>0</v>
      </c>
      <c r="K40" s="599"/>
    </row>
    <row r="41" spans="2:11" ht="15.75" thickBot="1">
      <c r="B41" s="604" t="s">
        <v>204</v>
      </c>
      <c r="C41" s="604"/>
      <c r="D41" s="604"/>
      <c r="E41" s="92"/>
      <c r="F41" s="604" t="s">
        <v>204</v>
      </c>
      <c r="G41" s="604"/>
      <c r="H41" s="604"/>
      <c r="I41" s="604"/>
      <c r="J41" s="599"/>
      <c r="K41" s="599"/>
    </row>
    <row r="42" spans="2:11" ht="15.75" thickBot="1">
      <c r="B42" s="604" t="s">
        <v>205</v>
      </c>
      <c r="C42" s="604"/>
      <c r="D42" s="604"/>
      <c r="E42" s="92">
        <v>0</v>
      </c>
      <c r="F42" s="603"/>
      <c r="G42" s="603"/>
      <c r="H42" s="603"/>
      <c r="I42" s="603"/>
      <c r="J42" s="599"/>
      <c r="K42" s="599"/>
    </row>
    <row r="43" spans="2:11" ht="18.75" customHeight="1" thickBot="1">
      <c r="B43" s="604" t="s">
        <v>116</v>
      </c>
      <c r="C43" s="604"/>
      <c r="D43" s="604"/>
      <c r="E43" s="92">
        <v>0</v>
      </c>
      <c r="F43" s="604" t="s">
        <v>116</v>
      </c>
      <c r="G43" s="604"/>
      <c r="H43" s="604"/>
      <c r="I43" s="604"/>
      <c r="J43" s="599">
        <v>0</v>
      </c>
      <c r="K43" s="599"/>
    </row>
    <row r="44" spans="2:11" ht="15.75" thickBot="1">
      <c r="B44" s="603"/>
      <c r="C44" s="603"/>
      <c r="D44" s="603"/>
      <c r="E44" s="92"/>
      <c r="F44" s="603"/>
      <c r="G44" s="603"/>
      <c r="H44" s="603"/>
      <c r="I44" s="603"/>
      <c r="J44" s="599"/>
      <c r="K44" s="599"/>
    </row>
    <row r="45" spans="2:11" ht="29.25" customHeight="1" thickBot="1">
      <c r="B45" s="598" t="s">
        <v>1000</v>
      </c>
      <c r="C45" s="598"/>
      <c r="D45" s="598"/>
      <c r="E45" s="92">
        <v>0</v>
      </c>
      <c r="F45" s="598" t="s">
        <v>1000</v>
      </c>
      <c r="G45" s="598"/>
      <c r="H45" s="598"/>
      <c r="I45" s="598"/>
      <c r="J45" s="599">
        <v>0</v>
      </c>
      <c r="K45" s="599"/>
    </row>
    <row r="46" spans="2:11" ht="15.75" thickBot="1">
      <c r="B46" s="604" t="s">
        <v>204</v>
      </c>
      <c r="C46" s="604"/>
      <c r="D46" s="604"/>
      <c r="E46" s="92"/>
      <c r="F46" s="604" t="s">
        <v>204</v>
      </c>
      <c r="G46" s="604"/>
      <c r="H46" s="604"/>
      <c r="I46" s="604"/>
      <c r="J46" s="599"/>
      <c r="K46" s="599"/>
    </row>
    <row r="47" spans="2:11" ht="15.75" thickBot="1">
      <c r="B47" s="604" t="s">
        <v>205</v>
      </c>
      <c r="C47" s="604"/>
      <c r="D47" s="604"/>
      <c r="E47" s="92">
        <v>0</v>
      </c>
      <c r="F47" s="603"/>
      <c r="G47" s="603"/>
      <c r="H47" s="603"/>
      <c r="I47" s="603"/>
      <c r="J47" s="599"/>
      <c r="K47" s="599"/>
    </row>
    <row r="48" spans="2:11" ht="28.5" customHeight="1" thickBot="1">
      <c r="B48" s="604" t="s">
        <v>117</v>
      </c>
      <c r="C48" s="604"/>
      <c r="D48" s="604"/>
      <c r="E48" s="92">
        <v>0</v>
      </c>
      <c r="F48" s="604" t="s">
        <v>117</v>
      </c>
      <c r="G48" s="604"/>
      <c r="H48" s="604"/>
      <c r="I48" s="604"/>
      <c r="J48" s="599">
        <v>0</v>
      </c>
      <c r="K48" s="599"/>
    </row>
    <row r="49" spans="2:11" ht="15.75" thickBot="1">
      <c r="B49" s="603"/>
      <c r="C49" s="603"/>
      <c r="D49" s="603"/>
      <c r="E49" s="92"/>
      <c r="F49" s="603"/>
      <c r="G49" s="603"/>
      <c r="H49" s="603"/>
      <c r="I49" s="603"/>
      <c r="J49" s="599"/>
      <c r="K49" s="599"/>
    </row>
    <row r="50" spans="2:11" ht="15.75" thickBot="1">
      <c r="B50" s="598" t="s">
        <v>1001</v>
      </c>
      <c r="C50" s="598"/>
      <c r="D50" s="598"/>
      <c r="E50" s="92">
        <v>0</v>
      </c>
      <c r="F50" s="598" t="s">
        <v>1001</v>
      </c>
      <c r="G50" s="598"/>
      <c r="H50" s="598"/>
      <c r="I50" s="598"/>
      <c r="J50" s="599">
        <v>0</v>
      </c>
      <c r="K50" s="599"/>
    </row>
    <row r="51" spans="2:11" ht="15">
      <c r="B51" s="18"/>
      <c r="C51" s="18"/>
      <c r="D51" s="18"/>
      <c r="E51" s="18"/>
      <c r="F51" s="18"/>
      <c r="G51" s="18"/>
      <c r="H51" s="18"/>
      <c r="I51" s="18"/>
      <c r="J51" s="18"/>
      <c r="K51" s="18"/>
    </row>
    <row r="52" spans="2:11" ht="15">
      <c r="B52" s="18"/>
      <c r="C52" s="18"/>
      <c r="D52" s="18"/>
      <c r="E52" s="18"/>
      <c r="F52" s="18"/>
      <c r="G52" s="18"/>
      <c r="H52" s="18"/>
      <c r="I52" s="18"/>
      <c r="J52" s="18"/>
      <c r="K52" s="18"/>
    </row>
    <row r="53" spans="2:11" ht="39.75" customHeight="1">
      <c r="B53" s="569" t="s">
        <v>1208</v>
      </c>
      <c r="C53" s="569"/>
      <c r="D53" s="569"/>
      <c r="E53" s="569"/>
      <c r="F53" s="569"/>
      <c r="G53" s="569"/>
      <c r="H53" s="569"/>
      <c r="I53" s="569"/>
      <c r="J53" s="569"/>
      <c r="K53" s="569"/>
    </row>
    <row r="54" spans="2:11" ht="31.5" customHeight="1" thickBot="1">
      <c r="B54" s="600" t="s">
        <v>1209</v>
      </c>
      <c r="C54" s="600"/>
      <c r="D54" s="600"/>
      <c r="E54" s="600"/>
      <c r="F54" s="600"/>
      <c r="G54" s="600"/>
      <c r="H54" s="600"/>
      <c r="I54" s="600"/>
      <c r="J54" s="600"/>
      <c r="K54" s="600"/>
    </row>
    <row r="55" spans="2:11" ht="62.25" customHeight="1" thickBot="1">
      <c r="B55" s="601" t="s">
        <v>554</v>
      </c>
      <c r="C55" s="601"/>
      <c r="D55" s="601"/>
      <c r="E55" s="601"/>
      <c r="F55" s="601" t="s">
        <v>553</v>
      </c>
      <c r="G55" s="601"/>
      <c r="H55" s="601"/>
      <c r="I55" s="601"/>
      <c r="J55" s="601"/>
      <c r="K55" s="601"/>
    </row>
    <row r="56" spans="2:11" ht="15.75" thickBot="1">
      <c r="B56" s="598" t="s">
        <v>1001</v>
      </c>
      <c r="C56" s="598"/>
      <c r="D56" s="598"/>
      <c r="E56" s="92">
        <v>0</v>
      </c>
      <c r="F56" s="598" t="s">
        <v>1001</v>
      </c>
      <c r="G56" s="598"/>
      <c r="H56" s="598"/>
      <c r="I56" s="598"/>
      <c r="J56" s="599">
        <v>0</v>
      </c>
      <c r="K56" s="599"/>
    </row>
    <row r="57" spans="2:11" ht="15.75" thickBot="1">
      <c r="B57" s="602"/>
      <c r="C57" s="602"/>
      <c r="D57" s="602"/>
      <c r="E57" s="92"/>
      <c r="F57" s="603"/>
      <c r="G57" s="603"/>
      <c r="H57" s="603"/>
      <c r="I57" s="603"/>
      <c r="J57" s="599"/>
      <c r="K57" s="599"/>
    </row>
    <row r="58" spans="2:11" ht="29.25" customHeight="1" thickBot="1">
      <c r="B58" s="605" t="s">
        <v>1210</v>
      </c>
      <c r="C58" s="606"/>
      <c r="D58" s="607"/>
      <c r="E58" s="92">
        <v>0</v>
      </c>
      <c r="F58" s="598" t="s">
        <v>1210</v>
      </c>
      <c r="G58" s="598"/>
      <c r="H58" s="598"/>
      <c r="I58" s="598"/>
      <c r="J58" s="599">
        <v>0</v>
      </c>
      <c r="K58" s="599"/>
    </row>
    <row r="59" spans="2:11" ht="15.75" thickBot="1">
      <c r="B59" s="604" t="s">
        <v>204</v>
      </c>
      <c r="C59" s="604"/>
      <c r="D59" s="604"/>
      <c r="E59" s="92"/>
      <c r="F59" s="604" t="s">
        <v>204</v>
      </c>
      <c r="G59" s="604"/>
      <c r="H59" s="604"/>
      <c r="I59" s="604"/>
      <c r="J59" s="599"/>
      <c r="K59" s="599"/>
    </row>
    <row r="60" spans="2:11" ht="15.75" thickBot="1">
      <c r="B60" s="604" t="s">
        <v>205</v>
      </c>
      <c r="C60" s="604"/>
      <c r="D60" s="604"/>
      <c r="E60" s="92">
        <v>0</v>
      </c>
      <c r="F60" s="603"/>
      <c r="G60" s="603"/>
      <c r="H60" s="603"/>
      <c r="I60" s="603"/>
      <c r="J60" s="599"/>
      <c r="K60" s="599"/>
    </row>
    <row r="61" spans="2:11" ht="15.75" thickBot="1">
      <c r="B61" s="604" t="s">
        <v>116</v>
      </c>
      <c r="C61" s="604"/>
      <c r="D61" s="604"/>
      <c r="E61" s="92">
        <v>0</v>
      </c>
      <c r="F61" s="604" t="s">
        <v>116</v>
      </c>
      <c r="G61" s="604"/>
      <c r="H61" s="604"/>
      <c r="I61" s="604"/>
      <c r="J61" s="599">
        <v>0</v>
      </c>
      <c r="K61" s="599"/>
    </row>
    <row r="62" spans="2:11" ht="15.75" thickBot="1">
      <c r="B62" s="603"/>
      <c r="C62" s="603"/>
      <c r="D62" s="603"/>
      <c r="E62" s="92"/>
      <c r="F62" s="603"/>
      <c r="G62" s="603"/>
      <c r="H62" s="603"/>
      <c r="I62" s="603"/>
      <c r="J62" s="599"/>
      <c r="K62" s="599"/>
    </row>
    <row r="63" spans="2:11" ht="30" customHeight="1" thickBot="1">
      <c r="B63" s="598" t="s">
        <v>1211</v>
      </c>
      <c r="C63" s="598"/>
      <c r="D63" s="598"/>
      <c r="E63" s="92">
        <v>0</v>
      </c>
      <c r="F63" s="598" t="s">
        <v>1211</v>
      </c>
      <c r="G63" s="598"/>
      <c r="H63" s="598"/>
      <c r="I63" s="598"/>
      <c r="J63" s="599">
        <v>0</v>
      </c>
      <c r="K63" s="599"/>
    </row>
    <row r="64" spans="2:11" ht="15.75" thickBot="1">
      <c r="B64" s="604" t="s">
        <v>204</v>
      </c>
      <c r="C64" s="604"/>
      <c r="D64" s="604"/>
      <c r="E64" s="92"/>
      <c r="F64" s="604" t="s">
        <v>204</v>
      </c>
      <c r="G64" s="604"/>
      <c r="H64" s="604"/>
      <c r="I64" s="604"/>
      <c r="J64" s="599"/>
      <c r="K64" s="599"/>
    </row>
    <row r="65" spans="2:11" ht="15.75" thickBot="1">
      <c r="B65" s="604" t="s">
        <v>205</v>
      </c>
      <c r="C65" s="604"/>
      <c r="D65" s="604"/>
      <c r="E65" s="92">
        <v>0</v>
      </c>
      <c r="F65" s="603"/>
      <c r="G65" s="603"/>
      <c r="H65" s="603"/>
      <c r="I65" s="603"/>
      <c r="J65" s="599"/>
      <c r="K65" s="599"/>
    </row>
    <row r="66" spans="2:11" ht="35.25" customHeight="1" thickBot="1">
      <c r="B66" s="604" t="s">
        <v>117</v>
      </c>
      <c r="C66" s="604"/>
      <c r="D66" s="604"/>
      <c r="E66" s="92">
        <v>0</v>
      </c>
      <c r="F66" s="604" t="s">
        <v>117</v>
      </c>
      <c r="G66" s="604"/>
      <c r="H66" s="604"/>
      <c r="I66" s="604"/>
      <c r="J66" s="599">
        <v>0</v>
      </c>
      <c r="K66" s="599"/>
    </row>
    <row r="67" spans="2:11" ht="15.75" thickBot="1">
      <c r="B67" s="603"/>
      <c r="C67" s="603"/>
      <c r="D67" s="603"/>
      <c r="E67" s="92"/>
      <c r="F67" s="603"/>
      <c r="G67" s="603"/>
      <c r="H67" s="603"/>
      <c r="I67" s="603"/>
      <c r="J67" s="599"/>
      <c r="K67" s="599"/>
    </row>
    <row r="68" spans="2:11" ht="15.75" thickBot="1">
      <c r="B68" s="598" t="s">
        <v>1451</v>
      </c>
      <c r="C68" s="598"/>
      <c r="D68" s="598"/>
      <c r="E68" s="92">
        <v>0</v>
      </c>
      <c r="F68" s="598" t="s">
        <v>1212</v>
      </c>
      <c r="G68" s="598"/>
      <c r="H68" s="598"/>
      <c r="I68" s="598"/>
      <c r="J68" s="599">
        <v>0</v>
      </c>
      <c r="K68" s="599"/>
    </row>
    <row r="71" spans="2:11" ht="28.5" customHeight="1">
      <c r="B71" s="569" t="s">
        <v>1452</v>
      </c>
      <c r="C71" s="569"/>
      <c r="D71" s="569"/>
      <c r="E71" s="569"/>
      <c r="F71" s="569"/>
      <c r="G71" s="569"/>
      <c r="H71" s="569"/>
      <c r="I71" s="569"/>
      <c r="J71" s="569"/>
      <c r="K71" s="569"/>
    </row>
    <row r="72" spans="2:11" ht="35.25" customHeight="1" thickBot="1">
      <c r="B72" s="600" t="s">
        <v>1453</v>
      </c>
      <c r="C72" s="600"/>
      <c r="D72" s="600"/>
      <c r="E72" s="600"/>
      <c r="F72" s="600"/>
      <c r="G72" s="600"/>
      <c r="H72" s="600"/>
      <c r="I72" s="600"/>
      <c r="J72" s="600"/>
      <c r="K72" s="600"/>
    </row>
    <row r="73" spans="2:11" ht="15.75" thickBot="1">
      <c r="B73" s="601" t="s">
        <v>554</v>
      </c>
      <c r="C73" s="601"/>
      <c r="D73" s="601"/>
      <c r="E73" s="601"/>
      <c r="F73" s="601" t="s">
        <v>553</v>
      </c>
      <c r="G73" s="601"/>
      <c r="H73" s="601"/>
      <c r="I73" s="601"/>
      <c r="J73" s="601"/>
      <c r="K73" s="601"/>
    </row>
    <row r="74" spans="2:11" ht="15.75" thickBot="1">
      <c r="B74" s="598" t="s">
        <v>1212</v>
      </c>
      <c r="C74" s="598"/>
      <c r="D74" s="598"/>
      <c r="E74" s="92">
        <v>0</v>
      </c>
      <c r="F74" s="598" t="s">
        <v>1212</v>
      </c>
      <c r="G74" s="598"/>
      <c r="H74" s="598"/>
      <c r="I74" s="598"/>
      <c r="J74" s="599">
        <v>0</v>
      </c>
      <c r="K74" s="599"/>
    </row>
    <row r="75" spans="2:11" ht="15.75" thickBot="1">
      <c r="B75" s="602"/>
      <c r="C75" s="602"/>
      <c r="D75" s="602"/>
      <c r="E75" s="92"/>
      <c r="F75" s="603"/>
      <c r="G75" s="603"/>
      <c r="H75" s="603"/>
      <c r="I75" s="603"/>
      <c r="J75" s="599"/>
      <c r="K75" s="599"/>
    </row>
    <row r="76" spans="2:11" ht="31.5" customHeight="1" thickBot="1">
      <c r="B76" s="605" t="s">
        <v>1454</v>
      </c>
      <c r="C76" s="606"/>
      <c r="D76" s="607"/>
      <c r="E76" s="92">
        <v>0</v>
      </c>
      <c r="F76" s="598" t="s">
        <v>1454</v>
      </c>
      <c r="G76" s="598"/>
      <c r="H76" s="598"/>
      <c r="I76" s="598"/>
      <c r="J76" s="599">
        <v>0</v>
      </c>
      <c r="K76" s="599"/>
    </row>
    <row r="77" spans="2:11" ht="15.75" thickBot="1">
      <c r="B77" s="604" t="s">
        <v>204</v>
      </c>
      <c r="C77" s="604"/>
      <c r="D77" s="604"/>
      <c r="E77" s="92"/>
      <c r="F77" s="604" t="s">
        <v>204</v>
      </c>
      <c r="G77" s="604"/>
      <c r="H77" s="604"/>
      <c r="I77" s="604"/>
      <c r="J77" s="599"/>
      <c r="K77" s="599"/>
    </row>
    <row r="78" spans="2:11" ht="15.75" thickBot="1">
      <c r="B78" s="604" t="s">
        <v>205</v>
      </c>
      <c r="C78" s="604"/>
      <c r="D78" s="604"/>
      <c r="E78" s="92">
        <v>0</v>
      </c>
      <c r="F78" s="603"/>
      <c r="G78" s="603"/>
      <c r="H78" s="603"/>
      <c r="I78" s="603"/>
      <c r="J78" s="599"/>
      <c r="K78" s="599"/>
    </row>
    <row r="79" spans="2:11" ht="19.5" customHeight="1" thickBot="1">
      <c r="B79" s="604" t="s">
        <v>116</v>
      </c>
      <c r="C79" s="604"/>
      <c r="D79" s="604"/>
      <c r="E79" s="92">
        <v>0</v>
      </c>
      <c r="F79" s="604" t="s">
        <v>116</v>
      </c>
      <c r="G79" s="604"/>
      <c r="H79" s="604"/>
      <c r="I79" s="604"/>
      <c r="J79" s="599">
        <v>0</v>
      </c>
      <c r="K79" s="599"/>
    </row>
    <row r="80" spans="2:11" ht="15.75" thickBot="1">
      <c r="B80" s="603"/>
      <c r="C80" s="603"/>
      <c r="D80" s="603"/>
      <c r="E80" s="92"/>
      <c r="F80" s="603"/>
      <c r="G80" s="603"/>
      <c r="H80" s="603"/>
      <c r="I80" s="603"/>
      <c r="J80" s="599"/>
      <c r="K80" s="599"/>
    </row>
    <row r="81" spans="2:11" ht="27.75" customHeight="1" thickBot="1">
      <c r="B81" s="598" t="s">
        <v>1455</v>
      </c>
      <c r="C81" s="598"/>
      <c r="D81" s="598"/>
      <c r="E81" s="92">
        <v>0</v>
      </c>
      <c r="F81" s="598" t="s">
        <v>1455</v>
      </c>
      <c r="G81" s="598"/>
      <c r="H81" s="598"/>
      <c r="I81" s="598"/>
      <c r="J81" s="599">
        <v>0</v>
      </c>
      <c r="K81" s="599"/>
    </row>
    <row r="82" spans="2:11" ht="15.75" thickBot="1">
      <c r="B82" s="604" t="s">
        <v>204</v>
      </c>
      <c r="C82" s="604"/>
      <c r="D82" s="604"/>
      <c r="E82" s="92"/>
      <c r="F82" s="604" t="s">
        <v>204</v>
      </c>
      <c r="G82" s="604"/>
      <c r="H82" s="604"/>
      <c r="I82" s="604"/>
      <c r="J82" s="599"/>
      <c r="K82" s="599"/>
    </row>
    <row r="83" spans="2:11" ht="15.75" thickBot="1">
      <c r="B83" s="604" t="s">
        <v>205</v>
      </c>
      <c r="C83" s="604"/>
      <c r="D83" s="604"/>
      <c r="E83" s="92">
        <v>0</v>
      </c>
      <c r="F83" s="603"/>
      <c r="G83" s="603"/>
      <c r="H83" s="603"/>
      <c r="I83" s="603"/>
      <c r="J83" s="599"/>
      <c r="K83" s="599"/>
    </row>
    <row r="84" spans="2:11" ht="29.25" customHeight="1" thickBot="1">
      <c r="B84" s="604" t="s">
        <v>117</v>
      </c>
      <c r="C84" s="604"/>
      <c r="D84" s="604"/>
      <c r="E84" s="92">
        <v>0</v>
      </c>
      <c r="F84" s="604" t="s">
        <v>117</v>
      </c>
      <c r="G84" s="604"/>
      <c r="H84" s="604"/>
      <c r="I84" s="604"/>
      <c r="J84" s="599">
        <v>0</v>
      </c>
      <c r="K84" s="599"/>
    </row>
    <row r="85" spans="2:11" ht="15.75" thickBot="1">
      <c r="B85" s="603"/>
      <c r="C85" s="603"/>
      <c r="D85" s="603"/>
      <c r="E85" s="92"/>
      <c r="F85" s="603"/>
      <c r="G85" s="603"/>
      <c r="H85" s="603"/>
      <c r="I85" s="603"/>
      <c r="J85" s="599"/>
      <c r="K85" s="599"/>
    </row>
    <row r="86" spans="2:11" ht="15.75" thickBot="1">
      <c r="B86" s="598" t="s">
        <v>1456</v>
      </c>
      <c r="C86" s="598"/>
      <c r="D86" s="598"/>
      <c r="E86" s="92">
        <v>0</v>
      </c>
      <c r="F86" s="598" t="s">
        <v>1456</v>
      </c>
      <c r="G86" s="598"/>
      <c r="H86" s="598"/>
      <c r="I86" s="598"/>
      <c r="J86" s="599">
        <v>0</v>
      </c>
      <c r="K86" s="599"/>
    </row>
  </sheetData>
  <sheetProtection/>
  <mergeCells count="170">
    <mergeCell ref="B85:D85"/>
    <mergeCell ref="F85:I85"/>
    <mergeCell ref="J85:K85"/>
    <mergeCell ref="B86:D86"/>
    <mergeCell ref="F86:I86"/>
    <mergeCell ref="J86:K86"/>
    <mergeCell ref="B83:D83"/>
    <mergeCell ref="F83:I83"/>
    <mergeCell ref="J83:K83"/>
    <mergeCell ref="B84:D84"/>
    <mergeCell ref="F84:I84"/>
    <mergeCell ref="J84:K84"/>
    <mergeCell ref="B81:D81"/>
    <mergeCell ref="F81:I81"/>
    <mergeCell ref="J81:K81"/>
    <mergeCell ref="B82:D82"/>
    <mergeCell ref="F82:I82"/>
    <mergeCell ref="J82:K82"/>
    <mergeCell ref="B79:D79"/>
    <mergeCell ref="F79:I79"/>
    <mergeCell ref="J79:K79"/>
    <mergeCell ref="B80:D80"/>
    <mergeCell ref="F80:I80"/>
    <mergeCell ref="J80:K80"/>
    <mergeCell ref="B77:D77"/>
    <mergeCell ref="F77:I77"/>
    <mergeCell ref="J77:K77"/>
    <mergeCell ref="B78:D78"/>
    <mergeCell ref="F78:I78"/>
    <mergeCell ref="J78:K78"/>
    <mergeCell ref="B75:D75"/>
    <mergeCell ref="F75:I75"/>
    <mergeCell ref="J75:K75"/>
    <mergeCell ref="B76:D76"/>
    <mergeCell ref="F76:I76"/>
    <mergeCell ref="J76:K76"/>
    <mergeCell ref="B71:K71"/>
    <mergeCell ref="B72:K72"/>
    <mergeCell ref="B73:E73"/>
    <mergeCell ref="F73:K73"/>
    <mergeCell ref="B74:D74"/>
    <mergeCell ref="F74:I74"/>
    <mergeCell ref="J74:K74"/>
    <mergeCell ref="B67:D67"/>
    <mergeCell ref="F67:I67"/>
    <mergeCell ref="J67:K67"/>
    <mergeCell ref="B68:D68"/>
    <mergeCell ref="F68:I68"/>
    <mergeCell ref="J68:K68"/>
    <mergeCell ref="B65:D65"/>
    <mergeCell ref="F65:I65"/>
    <mergeCell ref="J65:K65"/>
    <mergeCell ref="B66:D66"/>
    <mergeCell ref="F66:I66"/>
    <mergeCell ref="J66:K66"/>
    <mergeCell ref="B63:D63"/>
    <mergeCell ref="F63:I63"/>
    <mergeCell ref="J63:K63"/>
    <mergeCell ref="B64:D64"/>
    <mergeCell ref="F64:I64"/>
    <mergeCell ref="J64:K64"/>
    <mergeCell ref="B61:D61"/>
    <mergeCell ref="F61:I61"/>
    <mergeCell ref="J61:K61"/>
    <mergeCell ref="B62:D62"/>
    <mergeCell ref="F62:I62"/>
    <mergeCell ref="J62:K62"/>
    <mergeCell ref="B59:D59"/>
    <mergeCell ref="F59:I59"/>
    <mergeCell ref="J59:K59"/>
    <mergeCell ref="B60:D60"/>
    <mergeCell ref="F60:I60"/>
    <mergeCell ref="J60:K60"/>
    <mergeCell ref="J56:K56"/>
    <mergeCell ref="B57:D57"/>
    <mergeCell ref="F57:I57"/>
    <mergeCell ref="J57:K57"/>
    <mergeCell ref="B58:D58"/>
    <mergeCell ref="F58:I58"/>
    <mergeCell ref="J58:K58"/>
    <mergeCell ref="B53:K53"/>
    <mergeCell ref="B54:K54"/>
    <mergeCell ref="B55:E55"/>
    <mergeCell ref="F55:K55"/>
    <mergeCell ref="B50:D50"/>
    <mergeCell ref="F50:I50"/>
    <mergeCell ref="J50:K50"/>
    <mergeCell ref="I26:K26"/>
    <mergeCell ref="I27:K27"/>
    <mergeCell ref="I28:K28"/>
    <mergeCell ref="I29:K29"/>
    <mergeCell ref="I32:K32"/>
    <mergeCell ref="I30:K30"/>
    <mergeCell ref="I31:K31"/>
    <mergeCell ref="F49:I49"/>
    <mergeCell ref="J49:K49"/>
    <mergeCell ref="B48:D48"/>
    <mergeCell ref="F48:I48"/>
    <mergeCell ref="J48:K48"/>
    <mergeCell ref="B47:D47"/>
    <mergeCell ref="F47:I47"/>
    <mergeCell ref="J47:K47"/>
    <mergeCell ref="B49:D49"/>
    <mergeCell ref="B46:D46"/>
    <mergeCell ref="F46:I46"/>
    <mergeCell ref="J46:K46"/>
    <mergeCell ref="B45:D45"/>
    <mergeCell ref="F45:I45"/>
    <mergeCell ref="J45:K45"/>
    <mergeCell ref="B44:D44"/>
    <mergeCell ref="F44:I44"/>
    <mergeCell ref="J44:K44"/>
    <mergeCell ref="B43:D43"/>
    <mergeCell ref="F43:I43"/>
    <mergeCell ref="J43:K43"/>
    <mergeCell ref="B42:D42"/>
    <mergeCell ref="F42:I42"/>
    <mergeCell ref="J42:K42"/>
    <mergeCell ref="B41:D41"/>
    <mergeCell ref="F41:I41"/>
    <mergeCell ref="J41:K41"/>
    <mergeCell ref="B40:D40"/>
    <mergeCell ref="F40:I40"/>
    <mergeCell ref="J40:K40"/>
    <mergeCell ref="B39:D39"/>
    <mergeCell ref="F39:I39"/>
    <mergeCell ref="J39:K39"/>
    <mergeCell ref="B38:D38"/>
    <mergeCell ref="F38:I38"/>
    <mergeCell ref="J38:K38"/>
    <mergeCell ref="B35:K35"/>
    <mergeCell ref="B36:K36"/>
    <mergeCell ref="B37:E37"/>
    <mergeCell ref="F37:K37"/>
    <mergeCell ref="I33:K33"/>
    <mergeCell ref="B26:E26"/>
    <mergeCell ref="B25:E25"/>
    <mergeCell ref="B29:E29"/>
    <mergeCell ref="B28:E28"/>
    <mergeCell ref="B56:D56"/>
    <mergeCell ref="F56:I56"/>
    <mergeCell ref="B31:E31"/>
    <mergeCell ref="B30:E30"/>
    <mergeCell ref="B33:E33"/>
    <mergeCell ref="B32:E32"/>
    <mergeCell ref="B19:K19"/>
    <mergeCell ref="B21:E22"/>
    <mergeCell ref="F21:K21"/>
    <mergeCell ref="B24:E24"/>
    <mergeCell ref="B23:E23"/>
    <mergeCell ref="I22:K22"/>
    <mergeCell ref="I23:K23"/>
    <mergeCell ref="I24:K24"/>
    <mergeCell ref="I25:K25"/>
    <mergeCell ref="B17:E17"/>
    <mergeCell ref="B11:K11"/>
    <mergeCell ref="B13:K13"/>
    <mergeCell ref="B15:E16"/>
    <mergeCell ref="F15:K15"/>
    <mergeCell ref="E9:H9"/>
    <mergeCell ref="F1:K1"/>
    <mergeCell ref="B6:K6"/>
    <mergeCell ref="B27:E27"/>
    <mergeCell ref="B7:K7"/>
    <mergeCell ref="B9:B10"/>
    <mergeCell ref="C9:C10"/>
    <mergeCell ref="D9:D10"/>
    <mergeCell ref="I9:I10"/>
    <mergeCell ref="J9:J10"/>
    <mergeCell ref="K9:K10"/>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223"/>
  <sheetViews>
    <sheetView view="pageBreakPreview" zoomScale="60" zoomScalePageLayoutView="0" workbookViewId="0" topLeftCell="A205">
      <selection activeCell="I120" sqref="I120"/>
    </sheetView>
  </sheetViews>
  <sheetFormatPr defaultColWidth="9.140625" defaultRowHeight="12.75"/>
  <cols>
    <col min="1" max="1" width="32.28125" style="139" customWidth="1"/>
    <col min="2" max="2" width="57.140625" style="139" customWidth="1"/>
    <col min="3" max="3" width="23.7109375" style="139" customWidth="1"/>
    <col min="4" max="4" width="19.28125" style="139" customWidth="1"/>
    <col min="5" max="5" width="20.7109375" style="139" customWidth="1"/>
    <col min="6" max="6" width="17.28125" style="460" hidden="1" customWidth="1"/>
    <col min="7" max="8" width="17.28125" style="460" customWidth="1"/>
    <col min="9" max="9" width="40.7109375" style="139" customWidth="1"/>
    <col min="10" max="11" width="9.140625" style="139" customWidth="1"/>
    <col min="12" max="12" width="25.8515625" style="139" customWidth="1"/>
    <col min="13" max="16384" width="9.140625" style="139" customWidth="1"/>
  </cols>
  <sheetData>
    <row r="1" spans="3:6" ht="18.75">
      <c r="C1" s="523" t="s">
        <v>193</v>
      </c>
      <c r="D1" s="523"/>
      <c r="E1" s="523"/>
      <c r="F1" s="460" t="s">
        <v>193</v>
      </c>
    </row>
    <row r="2" spans="3:6" ht="18.75">
      <c r="C2" s="523" t="s">
        <v>109</v>
      </c>
      <c r="D2" s="523"/>
      <c r="E2" s="523"/>
      <c r="F2" s="460" t="s">
        <v>109</v>
      </c>
    </row>
    <row r="3" spans="3:6" ht="24" customHeight="1">
      <c r="C3" s="524" t="s">
        <v>1519</v>
      </c>
      <c r="D3" s="524"/>
      <c r="E3" s="524"/>
      <c r="F3" s="460" t="s">
        <v>1519</v>
      </c>
    </row>
    <row r="4" spans="1:3" ht="15.75" customHeight="1">
      <c r="A4" s="525"/>
      <c r="B4" s="525"/>
      <c r="C4" s="525"/>
    </row>
    <row r="5" spans="1:5" ht="41.25" customHeight="1">
      <c r="A5" s="526" t="s">
        <v>1443</v>
      </c>
      <c r="B5" s="526"/>
      <c r="C5" s="526"/>
      <c r="D5" s="526"/>
      <c r="E5" s="526"/>
    </row>
    <row r="6" spans="1:5" ht="18.75">
      <c r="A6" s="523"/>
      <c r="B6" s="523"/>
      <c r="C6" s="523"/>
      <c r="D6" s="523"/>
      <c r="E6" s="523"/>
    </row>
    <row r="7" spans="1:3" ht="13.5" customHeight="1" thickBot="1">
      <c r="A7" s="416"/>
      <c r="B7" s="416"/>
      <c r="C7" s="417"/>
    </row>
    <row r="8" spans="1:6" ht="13.5" customHeight="1" thickBot="1">
      <c r="A8" s="516" t="s">
        <v>163</v>
      </c>
      <c r="B8" s="518" t="s">
        <v>742</v>
      </c>
      <c r="C8" s="520" t="s">
        <v>203</v>
      </c>
      <c r="D8" s="521"/>
      <c r="E8" s="522"/>
      <c r="F8" s="460" t="s">
        <v>203</v>
      </c>
    </row>
    <row r="9" spans="1:6" ht="13.5" thickBot="1">
      <c r="A9" s="517"/>
      <c r="B9" s="519"/>
      <c r="C9" s="418">
        <v>2021</v>
      </c>
      <c r="D9" s="418">
        <v>2022</v>
      </c>
      <c r="E9" s="418">
        <v>2023</v>
      </c>
      <c r="F9" s="460">
        <v>2021</v>
      </c>
    </row>
    <row r="10" spans="1:6" ht="13.5" thickBot="1">
      <c r="A10" s="419">
        <v>1</v>
      </c>
      <c r="B10" s="420">
        <v>2</v>
      </c>
      <c r="C10" s="419">
        <v>3</v>
      </c>
      <c r="D10" s="419">
        <v>4</v>
      </c>
      <c r="E10" s="419">
        <v>5</v>
      </c>
      <c r="F10" s="460">
        <v>3</v>
      </c>
    </row>
    <row r="11" spans="1:6" ht="16.5" thickBot="1">
      <c r="A11" s="269" t="s">
        <v>743</v>
      </c>
      <c r="B11" s="303" t="s">
        <v>744</v>
      </c>
      <c r="C11" s="346">
        <f>C12+C22+C32+C49+C52+C69+C78+C84+C98+C115</f>
        <v>63019015.419999994</v>
      </c>
      <c r="D11" s="346">
        <f>D12+D22+D32+D49+D52+D69+D78+D84+D98+D115</f>
        <v>63150891.29</v>
      </c>
      <c r="E11" s="346">
        <f>E12+E22+E32+E49+E52+E69+E78+E84+E98+E115</f>
        <v>63561772.95</v>
      </c>
      <c r="F11" s="460">
        <v>63019015.419999994</v>
      </c>
    </row>
    <row r="12" spans="1:6" ht="16.5" thickBot="1">
      <c r="A12" s="270" t="s">
        <v>745</v>
      </c>
      <c r="B12" s="304" t="s">
        <v>746</v>
      </c>
      <c r="C12" s="347">
        <f>C13</f>
        <v>43678647.279999994</v>
      </c>
      <c r="D12" s="347">
        <f>D13</f>
        <v>43428860</v>
      </c>
      <c r="E12" s="347">
        <f>E13</f>
        <v>43682740</v>
      </c>
      <c r="F12" s="460">
        <v>43678647.279999994</v>
      </c>
    </row>
    <row r="13" spans="1:6" ht="21" customHeight="1" thickBot="1">
      <c r="A13" s="271" t="s">
        <v>747</v>
      </c>
      <c r="B13" s="305" t="s">
        <v>219</v>
      </c>
      <c r="C13" s="348">
        <f>C14+C16+C18+C20</f>
        <v>43678647.279999994</v>
      </c>
      <c r="D13" s="348">
        <f>D14+D16+D18+D20</f>
        <v>43428860</v>
      </c>
      <c r="E13" s="348">
        <f>E14+E16+E18+E20</f>
        <v>43682740</v>
      </c>
      <c r="F13" s="460">
        <v>43678647.279999994</v>
      </c>
    </row>
    <row r="14" spans="1:6" ht="78.75" customHeight="1" thickBot="1">
      <c r="A14" s="272" t="s">
        <v>748</v>
      </c>
      <c r="B14" s="384" t="s">
        <v>169</v>
      </c>
      <c r="C14" s="349">
        <f>SUM(C15)</f>
        <v>42552147.279999994</v>
      </c>
      <c r="D14" s="349">
        <f>SUM(D15)</f>
        <v>42285360</v>
      </c>
      <c r="E14" s="349">
        <f>SUM(E15)</f>
        <v>42522240</v>
      </c>
      <c r="F14" s="460">
        <v>42552147.279999994</v>
      </c>
    </row>
    <row r="15" spans="1:6" ht="87.75" customHeight="1" thickBot="1">
      <c r="A15" s="23" t="s">
        <v>252</v>
      </c>
      <c r="B15" s="106" t="s">
        <v>169</v>
      </c>
      <c r="C15" s="350">
        <f>42047640+74994.8+429512.48</f>
        <v>42552147.279999994</v>
      </c>
      <c r="D15" s="350">
        <v>42285360</v>
      </c>
      <c r="E15" s="350">
        <v>42522240</v>
      </c>
      <c r="F15" s="460">
        <v>42552147.279999994</v>
      </c>
    </row>
    <row r="16" spans="1:6" ht="126" customHeight="1" thickBot="1">
      <c r="A16" s="272" t="s">
        <v>749</v>
      </c>
      <c r="B16" s="384" t="s">
        <v>750</v>
      </c>
      <c r="C16" s="349">
        <f>C17</f>
        <v>706500</v>
      </c>
      <c r="D16" s="349">
        <f>D17</f>
        <v>720500</v>
      </c>
      <c r="E16" s="349">
        <f>E17</f>
        <v>734500</v>
      </c>
      <c r="F16" s="460">
        <v>706500</v>
      </c>
    </row>
    <row r="17" spans="1:6" ht="49.5" customHeight="1" thickBot="1">
      <c r="A17" s="23" t="s">
        <v>253</v>
      </c>
      <c r="B17" s="106" t="s">
        <v>179</v>
      </c>
      <c r="C17" s="350">
        <v>706500</v>
      </c>
      <c r="D17" s="350">
        <v>720500</v>
      </c>
      <c r="E17" s="350">
        <v>734500</v>
      </c>
      <c r="F17" s="460">
        <v>706500</v>
      </c>
    </row>
    <row r="18" spans="1:6" ht="51.75" customHeight="1" thickBot="1">
      <c r="A18" s="272" t="s">
        <v>751</v>
      </c>
      <c r="B18" s="384" t="s">
        <v>752</v>
      </c>
      <c r="C18" s="349">
        <f>C19</f>
        <v>220000</v>
      </c>
      <c r="D18" s="349">
        <f>D19</f>
        <v>223000</v>
      </c>
      <c r="E18" s="349">
        <f>E19</f>
        <v>226000</v>
      </c>
      <c r="F18" s="460">
        <v>220000</v>
      </c>
    </row>
    <row r="19" spans="1:6" ht="50.25" customHeight="1" thickBot="1">
      <c r="A19" s="23" t="s">
        <v>254</v>
      </c>
      <c r="B19" s="456" t="s">
        <v>29</v>
      </c>
      <c r="C19" s="350">
        <v>220000</v>
      </c>
      <c r="D19" s="350">
        <v>223000</v>
      </c>
      <c r="E19" s="350">
        <v>226000</v>
      </c>
      <c r="F19" s="460">
        <v>220000</v>
      </c>
    </row>
    <row r="20" spans="1:6" ht="96.75" customHeight="1" thickBot="1">
      <c r="A20" s="273" t="s">
        <v>753</v>
      </c>
      <c r="B20" s="306" t="s">
        <v>716</v>
      </c>
      <c r="C20" s="351">
        <f>C21</f>
        <v>200000</v>
      </c>
      <c r="D20" s="351">
        <f>D21</f>
        <v>200000</v>
      </c>
      <c r="E20" s="351">
        <f>E21</f>
        <v>200000</v>
      </c>
      <c r="F20" s="460">
        <v>200000</v>
      </c>
    </row>
    <row r="21" spans="1:6" ht="93" customHeight="1" thickBot="1">
      <c r="A21" s="23" t="s">
        <v>255</v>
      </c>
      <c r="B21" s="24" t="s">
        <v>716</v>
      </c>
      <c r="C21" s="350">
        <v>200000</v>
      </c>
      <c r="D21" s="350">
        <v>200000</v>
      </c>
      <c r="E21" s="350">
        <v>200000</v>
      </c>
      <c r="F21" s="460">
        <v>200000</v>
      </c>
    </row>
    <row r="22" spans="1:6" ht="48" thickBot="1">
      <c r="A22" s="274" t="s">
        <v>754</v>
      </c>
      <c r="B22" s="307" t="s">
        <v>755</v>
      </c>
      <c r="C22" s="352">
        <f>C23</f>
        <v>8788840</v>
      </c>
      <c r="D22" s="352">
        <f>D23</f>
        <v>9248360</v>
      </c>
      <c r="E22" s="352">
        <f>E23</f>
        <v>9248360</v>
      </c>
      <c r="F22" s="460">
        <v>8788840</v>
      </c>
    </row>
    <row r="23" spans="1:6" ht="42.75" customHeight="1" thickBot="1">
      <c r="A23" s="275" t="s">
        <v>756</v>
      </c>
      <c r="B23" s="308" t="s">
        <v>89</v>
      </c>
      <c r="C23" s="353">
        <f>C24+C26+C28+C30</f>
        <v>8788840</v>
      </c>
      <c r="D23" s="353">
        <f>D24+D26+D28+D30</f>
        <v>9248360</v>
      </c>
      <c r="E23" s="353">
        <f>E24+E26+E28+E30</f>
        <v>9248360</v>
      </c>
      <c r="F23" s="460">
        <v>8788840</v>
      </c>
    </row>
    <row r="24" spans="1:6" ht="75.75" customHeight="1" thickBot="1">
      <c r="A24" s="273" t="s">
        <v>757</v>
      </c>
      <c r="B24" s="306" t="s">
        <v>241</v>
      </c>
      <c r="C24" s="351">
        <f>C25</f>
        <v>4051510</v>
      </c>
      <c r="D24" s="351">
        <f>D25</f>
        <v>4256800</v>
      </c>
      <c r="E24" s="351">
        <f>E25</f>
        <v>4256800</v>
      </c>
      <c r="F24" s="460">
        <v>4051510</v>
      </c>
    </row>
    <row r="25" spans="1:6" ht="109.5" customHeight="1" thickBot="1">
      <c r="A25" s="23" t="s">
        <v>235</v>
      </c>
      <c r="B25" s="24" t="s">
        <v>241</v>
      </c>
      <c r="C25" s="350">
        <v>4051510</v>
      </c>
      <c r="D25" s="350">
        <v>4256800</v>
      </c>
      <c r="E25" s="350">
        <v>4256800</v>
      </c>
      <c r="F25" s="460">
        <v>4051510</v>
      </c>
    </row>
    <row r="26" spans="1:6" ht="111" customHeight="1" thickBot="1">
      <c r="A26" s="273" t="s">
        <v>758</v>
      </c>
      <c r="B26" s="306" t="s">
        <v>184</v>
      </c>
      <c r="C26" s="351">
        <f>C27</f>
        <v>20330</v>
      </c>
      <c r="D26" s="351">
        <f>D27</f>
        <v>20990</v>
      </c>
      <c r="E26" s="351">
        <f>E27</f>
        <v>20990</v>
      </c>
      <c r="F26" s="460">
        <v>20330</v>
      </c>
    </row>
    <row r="27" spans="1:6" ht="112.5" customHeight="1" thickBot="1">
      <c r="A27" s="23" t="s">
        <v>236</v>
      </c>
      <c r="B27" s="24" t="s">
        <v>184</v>
      </c>
      <c r="C27" s="350">
        <v>20330</v>
      </c>
      <c r="D27" s="350">
        <v>20990</v>
      </c>
      <c r="E27" s="350">
        <v>20990</v>
      </c>
      <c r="F27" s="460">
        <v>20330</v>
      </c>
    </row>
    <row r="28" spans="1:6" ht="92.25" customHeight="1" thickBot="1">
      <c r="A28" s="273" t="s">
        <v>759</v>
      </c>
      <c r="B28" s="306" t="s">
        <v>542</v>
      </c>
      <c r="C28" s="351">
        <f>C29</f>
        <v>5277290</v>
      </c>
      <c r="D28" s="351">
        <f>D29</f>
        <v>5510860</v>
      </c>
      <c r="E28" s="351">
        <f>E29</f>
        <v>5510860</v>
      </c>
      <c r="F28" s="460">
        <v>5277290</v>
      </c>
    </row>
    <row r="29" spans="1:6" ht="93" customHeight="1" thickBot="1">
      <c r="A29" s="23" t="s">
        <v>237</v>
      </c>
      <c r="B29" s="24" t="s">
        <v>542</v>
      </c>
      <c r="C29" s="350">
        <v>5277290</v>
      </c>
      <c r="D29" s="350">
        <v>5510860</v>
      </c>
      <c r="E29" s="350">
        <v>5510860</v>
      </c>
      <c r="F29" s="460">
        <v>5277290</v>
      </c>
    </row>
    <row r="30" spans="1:6" ht="78.75" customHeight="1" thickBot="1">
      <c r="A30" s="273" t="s">
        <v>760</v>
      </c>
      <c r="B30" s="306" t="s">
        <v>543</v>
      </c>
      <c r="C30" s="351">
        <f>C31</f>
        <v>-560290</v>
      </c>
      <c r="D30" s="351">
        <f>D31</f>
        <v>-540290</v>
      </c>
      <c r="E30" s="351">
        <f>E31</f>
        <v>-540290</v>
      </c>
      <c r="F30" s="460">
        <v>-560290</v>
      </c>
    </row>
    <row r="31" spans="1:6" ht="95.25" thickBot="1">
      <c r="A31" s="23" t="s">
        <v>238</v>
      </c>
      <c r="B31" s="24" t="s">
        <v>543</v>
      </c>
      <c r="C31" s="350">
        <v>-560290</v>
      </c>
      <c r="D31" s="350">
        <v>-540290</v>
      </c>
      <c r="E31" s="350">
        <v>-540290</v>
      </c>
      <c r="F31" s="460">
        <v>-560290</v>
      </c>
    </row>
    <row r="32" spans="1:6" ht="16.5" thickBot="1">
      <c r="A32" s="274" t="s">
        <v>761</v>
      </c>
      <c r="B32" s="307" t="s">
        <v>762</v>
      </c>
      <c r="C32" s="352">
        <f>C40+C43+C46+C33</f>
        <v>3635111.4299999997</v>
      </c>
      <c r="D32" s="352">
        <f>D40+D43+D46+D33</f>
        <v>3627054.58</v>
      </c>
      <c r="E32" s="352">
        <f>E40+E43+E46+E33</f>
        <v>3801956.24</v>
      </c>
      <c r="F32" s="460">
        <v>3635111.4299999997</v>
      </c>
    </row>
    <row r="33" spans="1:8" s="244" customFormat="1" ht="30.75" customHeight="1" thickBot="1">
      <c r="A33" s="273" t="s">
        <v>1490</v>
      </c>
      <c r="B33" s="306" t="s">
        <v>1491</v>
      </c>
      <c r="C33" s="351">
        <f>C34+C37</f>
        <v>1155111.43</v>
      </c>
      <c r="D33" s="351">
        <f>D34+D37</f>
        <v>1227054.58</v>
      </c>
      <c r="E33" s="351">
        <f>E34+E37</f>
        <v>1301956.2400000002</v>
      </c>
      <c r="F33" s="461">
        <v>1155111.43</v>
      </c>
      <c r="G33" s="461"/>
      <c r="H33" s="461"/>
    </row>
    <row r="34" spans="1:8" s="244" customFormat="1" ht="32.25" thickBot="1">
      <c r="A34" s="443" t="s">
        <v>1495</v>
      </c>
      <c r="B34" s="405" t="s">
        <v>1492</v>
      </c>
      <c r="C34" s="380">
        <f aca="true" t="shared" si="0" ref="C34:E35">C35</f>
        <v>609987.34</v>
      </c>
      <c r="D34" s="380">
        <f t="shared" si="0"/>
        <v>646981.28</v>
      </c>
      <c r="E34" s="380">
        <f t="shared" si="0"/>
        <v>685068.93</v>
      </c>
      <c r="F34" s="461">
        <v>609987.34</v>
      </c>
      <c r="G34" s="461"/>
      <c r="H34" s="461"/>
    </row>
    <row r="35" spans="1:8" s="244" customFormat="1" ht="28.5" customHeight="1" thickBot="1">
      <c r="A35" s="443" t="s">
        <v>1493</v>
      </c>
      <c r="B35" s="405" t="s">
        <v>1492</v>
      </c>
      <c r="C35" s="380">
        <f t="shared" si="0"/>
        <v>609987.34</v>
      </c>
      <c r="D35" s="380">
        <f t="shared" si="0"/>
        <v>646981.28</v>
      </c>
      <c r="E35" s="380">
        <f t="shared" si="0"/>
        <v>685068.93</v>
      </c>
      <c r="F35" s="461">
        <v>609987.34</v>
      </c>
      <c r="G35" s="461"/>
      <c r="H35" s="461"/>
    </row>
    <row r="36" spans="1:8" s="244" customFormat="1" ht="28.5" customHeight="1" thickBot="1">
      <c r="A36" s="443" t="s">
        <v>1494</v>
      </c>
      <c r="B36" s="405" t="s">
        <v>1492</v>
      </c>
      <c r="C36" s="380">
        <v>609987.34</v>
      </c>
      <c r="D36" s="380">
        <v>646981.28</v>
      </c>
      <c r="E36" s="380">
        <v>685068.93</v>
      </c>
      <c r="F36" s="461">
        <v>609987.34</v>
      </c>
      <c r="G36" s="461"/>
      <c r="H36" s="461"/>
    </row>
    <row r="37" spans="1:8" s="244" customFormat="1" ht="45" customHeight="1" thickBot="1">
      <c r="A37" s="443" t="s">
        <v>1496</v>
      </c>
      <c r="B37" s="405" t="s">
        <v>1497</v>
      </c>
      <c r="C37" s="380">
        <f aca="true" t="shared" si="1" ref="C37:E38">C38</f>
        <v>545124.09</v>
      </c>
      <c r="D37" s="380">
        <f t="shared" si="1"/>
        <v>580073.3</v>
      </c>
      <c r="E37" s="380">
        <f t="shared" si="1"/>
        <v>616887.31</v>
      </c>
      <c r="F37" s="461">
        <v>545124.09</v>
      </c>
      <c r="G37" s="461"/>
      <c r="H37" s="461"/>
    </row>
    <row r="38" spans="1:8" s="244" customFormat="1" ht="78" customHeight="1" thickBot="1">
      <c r="A38" s="443" t="s">
        <v>1498</v>
      </c>
      <c r="B38" s="405" t="s">
        <v>1499</v>
      </c>
      <c r="C38" s="380">
        <f t="shared" si="1"/>
        <v>545124.09</v>
      </c>
      <c r="D38" s="380">
        <f t="shared" si="1"/>
        <v>580073.3</v>
      </c>
      <c r="E38" s="380">
        <f t="shared" si="1"/>
        <v>616887.31</v>
      </c>
      <c r="F38" s="461">
        <v>545124.09</v>
      </c>
      <c r="G38" s="461"/>
      <c r="H38" s="461"/>
    </row>
    <row r="39" spans="1:8" s="244" customFormat="1" ht="78.75" customHeight="1" thickBot="1">
      <c r="A39" s="443" t="s">
        <v>1500</v>
      </c>
      <c r="B39" s="405" t="s">
        <v>1499</v>
      </c>
      <c r="C39" s="380">
        <v>545124.09</v>
      </c>
      <c r="D39" s="380">
        <v>580073.3</v>
      </c>
      <c r="E39" s="380">
        <v>616887.31</v>
      </c>
      <c r="F39" s="461">
        <v>545124.09</v>
      </c>
      <c r="G39" s="461"/>
      <c r="H39" s="461"/>
    </row>
    <row r="40" spans="1:6" ht="32.25" thickBot="1">
      <c r="A40" s="276" t="s">
        <v>763</v>
      </c>
      <c r="B40" s="309" t="s">
        <v>256</v>
      </c>
      <c r="C40" s="351">
        <f aca="true" t="shared" si="2" ref="C40:E41">C41</f>
        <v>200000</v>
      </c>
      <c r="D40" s="351">
        <f t="shared" si="2"/>
        <v>0</v>
      </c>
      <c r="E40" s="351">
        <f t="shared" si="2"/>
        <v>0</v>
      </c>
      <c r="F40" s="460">
        <v>200000</v>
      </c>
    </row>
    <row r="41" spans="1:6" ht="32.25" thickBot="1">
      <c r="A41" s="26" t="s">
        <v>764</v>
      </c>
      <c r="B41" s="25" t="s">
        <v>256</v>
      </c>
      <c r="C41" s="350">
        <f t="shared" si="2"/>
        <v>200000</v>
      </c>
      <c r="D41" s="350">
        <f t="shared" si="2"/>
        <v>0</v>
      </c>
      <c r="E41" s="350">
        <f t="shared" si="2"/>
        <v>0</v>
      </c>
      <c r="F41" s="460">
        <v>200000</v>
      </c>
    </row>
    <row r="42" spans="1:6" ht="32.25" thickBot="1">
      <c r="A42" s="26" t="s">
        <v>842</v>
      </c>
      <c r="B42" s="25" t="s">
        <v>256</v>
      </c>
      <c r="C42" s="350">
        <v>200000</v>
      </c>
      <c r="D42" s="350">
        <v>0</v>
      </c>
      <c r="E42" s="350">
        <v>0</v>
      </c>
      <c r="F42" s="460">
        <v>200000</v>
      </c>
    </row>
    <row r="43" spans="1:6" ht="16.5" thickBot="1">
      <c r="A43" s="277" t="s">
        <v>765</v>
      </c>
      <c r="B43" s="309" t="s">
        <v>283</v>
      </c>
      <c r="C43" s="351">
        <f aca="true" t="shared" si="3" ref="C43:E44">C44</f>
        <v>1800000</v>
      </c>
      <c r="D43" s="351">
        <f t="shared" si="3"/>
        <v>1900000</v>
      </c>
      <c r="E43" s="351">
        <f t="shared" si="3"/>
        <v>2000000</v>
      </c>
      <c r="F43" s="460">
        <v>1800000</v>
      </c>
    </row>
    <row r="44" spans="1:6" ht="16.5" thickBot="1">
      <c r="A44" s="26" t="s">
        <v>766</v>
      </c>
      <c r="B44" s="25" t="s">
        <v>283</v>
      </c>
      <c r="C44" s="350">
        <f t="shared" si="3"/>
        <v>1800000</v>
      </c>
      <c r="D44" s="350">
        <f t="shared" si="3"/>
        <v>1900000</v>
      </c>
      <c r="E44" s="350">
        <f t="shared" si="3"/>
        <v>2000000</v>
      </c>
      <c r="F44" s="460">
        <v>1800000</v>
      </c>
    </row>
    <row r="45" spans="1:6" ht="16.5" thickBot="1">
      <c r="A45" s="26" t="s">
        <v>767</v>
      </c>
      <c r="B45" s="25" t="s">
        <v>283</v>
      </c>
      <c r="C45" s="350">
        <v>1800000</v>
      </c>
      <c r="D45" s="350">
        <v>1900000</v>
      </c>
      <c r="E45" s="350">
        <v>2000000</v>
      </c>
      <c r="F45" s="460">
        <v>1800000</v>
      </c>
    </row>
    <row r="46" spans="1:6" ht="32.25" thickBot="1">
      <c r="A46" s="276" t="s">
        <v>768</v>
      </c>
      <c r="B46" s="309" t="s">
        <v>611</v>
      </c>
      <c r="C46" s="351">
        <f aca="true" t="shared" si="4" ref="C46:E47">C47</f>
        <v>480000</v>
      </c>
      <c r="D46" s="351">
        <f t="shared" si="4"/>
        <v>500000</v>
      </c>
      <c r="E46" s="351">
        <f t="shared" si="4"/>
        <v>500000</v>
      </c>
      <c r="F46" s="460">
        <v>480000</v>
      </c>
    </row>
    <row r="47" spans="1:6" ht="32.25" thickBot="1">
      <c r="A47" s="278" t="s">
        <v>769</v>
      </c>
      <c r="B47" s="310" t="s">
        <v>611</v>
      </c>
      <c r="C47" s="354">
        <f t="shared" si="4"/>
        <v>480000</v>
      </c>
      <c r="D47" s="354">
        <f t="shared" si="4"/>
        <v>500000</v>
      </c>
      <c r="E47" s="354">
        <f t="shared" si="4"/>
        <v>500000</v>
      </c>
      <c r="F47" s="460">
        <v>480000</v>
      </c>
    </row>
    <row r="48" spans="1:6" ht="32.25" thickBot="1">
      <c r="A48" s="118" t="s">
        <v>841</v>
      </c>
      <c r="B48" s="119" t="s">
        <v>611</v>
      </c>
      <c r="C48" s="355">
        <v>480000</v>
      </c>
      <c r="D48" s="355">
        <v>500000</v>
      </c>
      <c r="E48" s="355">
        <v>500000</v>
      </c>
      <c r="F48" s="460">
        <v>480000</v>
      </c>
    </row>
    <row r="49" spans="1:6" ht="21.75" customHeight="1" thickBot="1">
      <c r="A49" s="279" t="s">
        <v>843</v>
      </c>
      <c r="B49" s="311" t="s">
        <v>844</v>
      </c>
      <c r="C49" s="352">
        <f aca="true" t="shared" si="5" ref="C49:E50">SUM(C50)</f>
        <v>490000</v>
      </c>
      <c r="D49" s="352">
        <f t="shared" si="5"/>
        <v>490000</v>
      </c>
      <c r="E49" s="352">
        <f t="shared" si="5"/>
        <v>490000</v>
      </c>
      <c r="F49" s="460">
        <v>490000</v>
      </c>
    </row>
    <row r="50" spans="1:6" ht="37.5" customHeight="1" thickBot="1">
      <c r="A50" s="280" t="s">
        <v>845</v>
      </c>
      <c r="B50" s="312" t="s">
        <v>846</v>
      </c>
      <c r="C50" s="356">
        <f t="shared" si="5"/>
        <v>490000</v>
      </c>
      <c r="D50" s="356">
        <f t="shared" si="5"/>
        <v>490000</v>
      </c>
      <c r="E50" s="356">
        <f t="shared" si="5"/>
        <v>490000</v>
      </c>
      <c r="F50" s="460">
        <v>490000</v>
      </c>
    </row>
    <row r="51" spans="1:6" ht="45.75" customHeight="1" thickBot="1">
      <c r="A51" s="278" t="s">
        <v>847</v>
      </c>
      <c r="B51" s="310" t="s">
        <v>848</v>
      </c>
      <c r="C51" s="354">
        <v>490000</v>
      </c>
      <c r="D51" s="354">
        <v>490000</v>
      </c>
      <c r="E51" s="354">
        <v>490000</v>
      </c>
      <c r="F51" s="460">
        <v>490000</v>
      </c>
    </row>
    <row r="52" spans="1:6" ht="48" thickBot="1">
      <c r="A52" s="281" t="s">
        <v>770</v>
      </c>
      <c r="B52" s="313" t="s">
        <v>771</v>
      </c>
      <c r="C52" s="357">
        <f>C56+C65</f>
        <v>3157000</v>
      </c>
      <c r="D52" s="357">
        <f>D56+D65</f>
        <v>3041000</v>
      </c>
      <c r="E52" s="357">
        <f>E56+E65</f>
        <v>2975000</v>
      </c>
      <c r="F52" s="460">
        <v>3157000</v>
      </c>
    </row>
    <row r="53" spans="1:6" ht="33.75" customHeight="1" thickBot="1">
      <c r="A53" s="282" t="s">
        <v>772</v>
      </c>
      <c r="B53" s="314" t="s">
        <v>773</v>
      </c>
      <c r="C53" s="358">
        <f aca="true" t="shared" si="6" ref="C53:E54">C54</f>
        <v>0</v>
      </c>
      <c r="D53" s="358">
        <f t="shared" si="6"/>
        <v>0</v>
      </c>
      <c r="E53" s="358">
        <f t="shared" si="6"/>
        <v>0</v>
      </c>
      <c r="F53" s="460">
        <v>0</v>
      </c>
    </row>
    <row r="54" spans="1:6" ht="48" thickBot="1">
      <c r="A54" s="283" t="s">
        <v>774</v>
      </c>
      <c r="B54" s="315" t="s">
        <v>239</v>
      </c>
      <c r="C54" s="359">
        <f t="shared" si="6"/>
        <v>0</v>
      </c>
      <c r="D54" s="359">
        <f t="shared" si="6"/>
        <v>0</v>
      </c>
      <c r="E54" s="359">
        <f t="shared" si="6"/>
        <v>0</v>
      </c>
      <c r="F54" s="460">
        <v>0</v>
      </c>
    </row>
    <row r="55" spans="1:6" ht="48" thickBot="1">
      <c r="A55" s="284" t="s">
        <v>257</v>
      </c>
      <c r="B55" s="27" t="s">
        <v>239</v>
      </c>
      <c r="C55" s="360">
        <v>0</v>
      </c>
      <c r="D55" s="360">
        <v>0</v>
      </c>
      <c r="E55" s="360">
        <v>0</v>
      </c>
      <c r="F55" s="460">
        <v>0</v>
      </c>
    </row>
    <row r="56" spans="1:6" ht="113.25" customHeight="1" thickBot="1">
      <c r="A56" s="469" t="s">
        <v>775</v>
      </c>
      <c r="B56" s="314" t="s">
        <v>776</v>
      </c>
      <c r="C56" s="358">
        <f>C57+C62</f>
        <v>2587000</v>
      </c>
      <c r="D56" s="358">
        <f>D57+D62</f>
        <v>2471000</v>
      </c>
      <c r="E56" s="358">
        <f>E57+E62</f>
        <v>2405000</v>
      </c>
      <c r="F56" s="460">
        <v>2587000</v>
      </c>
    </row>
    <row r="57" spans="1:6" ht="78.75" customHeight="1" thickBot="1">
      <c r="A57" s="470" t="s">
        <v>777</v>
      </c>
      <c r="B57" s="471" t="s">
        <v>778</v>
      </c>
      <c r="C57" s="472">
        <f>C58+C60</f>
        <v>2387000</v>
      </c>
      <c r="D57" s="472">
        <f>D58+D60</f>
        <v>2276000</v>
      </c>
      <c r="E57" s="472">
        <f>E58+E60</f>
        <v>2215000</v>
      </c>
      <c r="F57" s="460">
        <v>2387000</v>
      </c>
    </row>
    <row r="58" spans="1:6" ht="97.5" customHeight="1" thickBot="1">
      <c r="A58" s="285" t="s">
        <v>1532</v>
      </c>
      <c r="B58" s="316" t="s">
        <v>1422</v>
      </c>
      <c r="C58" s="359">
        <f>SUM(C59:C59)</f>
        <v>2200000</v>
      </c>
      <c r="D58" s="359">
        <f>SUM(D59:D59)</f>
        <v>2100000</v>
      </c>
      <c r="E58" s="359">
        <f>SUM(E59:E59)</f>
        <v>2050000</v>
      </c>
      <c r="F58" s="460">
        <v>2200000</v>
      </c>
    </row>
    <row r="59" spans="1:6" ht="111" thickBot="1">
      <c r="A59" s="286" t="s">
        <v>1533</v>
      </c>
      <c r="B59" s="317" t="s">
        <v>941</v>
      </c>
      <c r="C59" s="360">
        <v>2200000</v>
      </c>
      <c r="D59" s="360">
        <v>2100000</v>
      </c>
      <c r="E59" s="360">
        <v>2050000</v>
      </c>
      <c r="F59" s="460">
        <v>2200000</v>
      </c>
    </row>
    <row r="60" spans="1:6" ht="95.25" thickBot="1">
      <c r="A60" s="285" t="s">
        <v>1534</v>
      </c>
      <c r="B60" s="316" t="s">
        <v>312</v>
      </c>
      <c r="C60" s="359">
        <f>C61</f>
        <v>187000</v>
      </c>
      <c r="D60" s="359">
        <f>D61</f>
        <v>176000</v>
      </c>
      <c r="E60" s="359">
        <f>E61</f>
        <v>165000</v>
      </c>
      <c r="F60" s="460">
        <v>187000</v>
      </c>
    </row>
    <row r="61" spans="1:6" ht="95.25" thickBot="1">
      <c r="A61" s="286" t="s">
        <v>1535</v>
      </c>
      <c r="B61" s="317" t="s">
        <v>312</v>
      </c>
      <c r="C61" s="361">
        <v>187000</v>
      </c>
      <c r="D61" s="361">
        <v>176000</v>
      </c>
      <c r="E61" s="361">
        <v>165000</v>
      </c>
      <c r="F61" s="460">
        <v>187000</v>
      </c>
    </row>
    <row r="62" spans="1:6" ht="100.5" customHeight="1" thickBot="1">
      <c r="A62" s="287" t="s">
        <v>779</v>
      </c>
      <c r="B62" s="318" t="s">
        <v>780</v>
      </c>
      <c r="C62" s="359">
        <f aca="true" t="shared" si="7" ref="C62:E63">C63</f>
        <v>200000</v>
      </c>
      <c r="D62" s="359">
        <f t="shared" si="7"/>
        <v>195000</v>
      </c>
      <c r="E62" s="359">
        <f t="shared" si="7"/>
        <v>190000</v>
      </c>
      <c r="F62" s="460">
        <v>200000</v>
      </c>
    </row>
    <row r="63" spans="1:6" ht="95.25" thickBot="1">
      <c r="A63" s="285" t="s">
        <v>781</v>
      </c>
      <c r="B63" s="316" t="s">
        <v>544</v>
      </c>
      <c r="C63" s="362">
        <f t="shared" si="7"/>
        <v>200000</v>
      </c>
      <c r="D63" s="362">
        <f t="shared" si="7"/>
        <v>195000</v>
      </c>
      <c r="E63" s="362">
        <f t="shared" si="7"/>
        <v>190000</v>
      </c>
      <c r="F63" s="460">
        <v>200000</v>
      </c>
    </row>
    <row r="64" spans="1:6" ht="95.25" thickBot="1">
      <c r="A64" s="286" t="s">
        <v>329</v>
      </c>
      <c r="B64" s="317" t="s">
        <v>544</v>
      </c>
      <c r="C64" s="361">
        <v>200000</v>
      </c>
      <c r="D64" s="361">
        <v>195000</v>
      </c>
      <c r="E64" s="361">
        <v>190000</v>
      </c>
      <c r="F64" s="460">
        <v>200000</v>
      </c>
    </row>
    <row r="65" spans="1:6" ht="98.25" customHeight="1" thickBot="1">
      <c r="A65" s="285" t="s">
        <v>782</v>
      </c>
      <c r="B65" s="316" t="s">
        <v>783</v>
      </c>
      <c r="C65" s="359">
        <f aca="true" t="shared" si="8" ref="C65:E67">C66</f>
        <v>570000</v>
      </c>
      <c r="D65" s="359">
        <f t="shared" si="8"/>
        <v>570000</v>
      </c>
      <c r="E65" s="359">
        <f t="shared" si="8"/>
        <v>570000</v>
      </c>
      <c r="F65" s="460">
        <v>570000</v>
      </c>
    </row>
    <row r="66" spans="1:6" ht="95.25" thickBot="1">
      <c r="A66" s="468" t="s">
        <v>784</v>
      </c>
      <c r="B66" s="319" t="s">
        <v>785</v>
      </c>
      <c r="C66" s="363">
        <f t="shared" si="8"/>
        <v>570000</v>
      </c>
      <c r="D66" s="363">
        <f t="shared" si="8"/>
        <v>570000</v>
      </c>
      <c r="E66" s="363">
        <f t="shared" si="8"/>
        <v>570000</v>
      </c>
      <c r="F66" s="460">
        <v>570000</v>
      </c>
    </row>
    <row r="67" spans="1:6" ht="95.25" thickBot="1">
      <c r="A67" s="285" t="s">
        <v>786</v>
      </c>
      <c r="B67" s="319" t="s">
        <v>17</v>
      </c>
      <c r="C67" s="363">
        <f t="shared" si="8"/>
        <v>570000</v>
      </c>
      <c r="D67" s="363">
        <f t="shared" si="8"/>
        <v>570000</v>
      </c>
      <c r="E67" s="363">
        <f t="shared" si="8"/>
        <v>570000</v>
      </c>
      <c r="F67" s="460">
        <v>570000</v>
      </c>
    </row>
    <row r="68" spans="1:6" ht="95.25" thickBot="1">
      <c r="A68" s="288" t="s">
        <v>296</v>
      </c>
      <c r="B68" s="320" t="s">
        <v>17</v>
      </c>
      <c r="C68" s="364">
        <v>570000</v>
      </c>
      <c r="D68" s="364">
        <v>570000</v>
      </c>
      <c r="E68" s="364">
        <v>570000</v>
      </c>
      <c r="F68" s="460">
        <v>570000</v>
      </c>
    </row>
    <row r="69" spans="1:6" ht="32.25" thickBot="1">
      <c r="A69" s="279" t="s">
        <v>787</v>
      </c>
      <c r="B69" s="311" t="s">
        <v>788</v>
      </c>
      <c r="C69" s="352">
        <f>C70</f>
        <v>1155700</v>
      </c>
      <c r="D69" s="352">
        <f>D70</f>
        <v>1201900</v>
      </c>
      <c r="E69" s="352">
        <f>E70</f>
        <v>1250000</v>
      </c>
      <c r="F69" s="460">
        <v>1155700</v>
      </c>
    </row>
    <row r="70" spans="1:6" ht="32.25" thickBot="1">
      <c r="A70" s="289" t="s">
        <v>789</v>
      </c>
      <c r="B70" s="321" t="s">
        <v>165</v>
      </c>
      <c r="C70" s="353">
        <f>C71+C73+C75</f>
        <v>1155700</v>
      </c>
      <c r="D70" s="353">
        <f>D71+D73+D75</f>
        <v>1201900</v>
      </c>
      <c r="E70" s="353">
        <f>E71+E73+E75</f>
        <v>1250000</v>
      </c>
      <c r="F70" s="460">
        <v>1155700</v>
      </c>
    </row>
    <row r="71" spans="1:6" ht="33" customHeight="1" thickBot="1">
      <c r="A71" s="276" t="s">
        <v>790</v>
      </c>
      <c r="B71" s="309" t="s">
        <v>162</v>
      </c>
      <c r="C71" s="351">
        <f>C72</f>
        <v>31400</v>
      </c>
      <c r="D71" s="351">
        <f>D72</f>
        <v>32600</v>
      </c>
      <c r="E71" s="351">
        <f>E72</f>
        <v>33900</v>
      </c>
      <c r="F71" s="460">
        <v>31400</v>
      </c>
    </row>
    <row r="72" spans="1:6" ht="32.25" thickBot="1">
      <c r="A72" s="26" t="s">
        <v>280</v>
      </c>
      <c r="B72" s="25" t="s">
        <v>162</v>
      </c>
      <c r="C72" s="350">
        <v>31400</v>
      </c>
      <c r="D72" s="350">
        <v>32600</v>
      </c>
      <c r="E72" s="350">
        <v>33900</v>
      </c>
      <c r="F72" s="460">
        <v>31400</v>
      </c>
    </row>
    <row r="73" spans="1:6" ht="32.25" thickBot="1">
      <c r="A73" s="276" t="s">
        <v>791</v>
      </c>
      <c r="B73" s="309" t="s">
        <v>112</v>
      </c>
      <c r="C73" s="365">
        <f>C74</f>
        <v>2800</v>
      </c>
      <c r="D73" s="365">
        <f>D74</f>
        <v>2900</v>
      </c>
      <c r="E73" s="365">
        <f>E74</f>
        <v>3100</v>
      </c>
      <c r="F73" s="460">
        <v>2800</v>
      </c>
    </row>
    <row r="74" spans="1:6" ht="32.25" thickBot="1">
      <c r="A74" s="26" t="s">
        <v>55</v>
      </c>
      <c r="B74" s="25" t="s">
        <v>112</v>
      </c>
      <c r="C74" s="350">
        <v>2800</v>
      </c>
      <c r="D74" s="350">
        <v>2900</v>
      </c>
      <c r="E74" s="350">
        <v>3100</v>
      </c>
      <c r="F74" s="460">
        <v>2800</v>
      </c>
    </row>
    <row r="75" spans="1:6" ht="32.25" customHeight="1" thickBot="1">
      <c r="A75" s="276" t="s">
        <v>792</v>
      </c>
      <c r="B75" s="309" t="s">
        <v>113</v>
      </c>
      <c r="C75" s="365">
        <f>SUM(C76:C77)</f>
        <v>1121500</v>
      </c>
      <c r="D75" s="365">
        <f>SUM(D76:D77)</f>
        <v>1166400</v>
      </c>
      <c r="E75" s="365">
        <f>SUM(E76:E77)</f>
        <v>1213000</v>
      </c>
      <c r="F75" s="460">
        <v>1121500</v>
      </c>
    </row>
    <row r="76" spans="1:6" ht="32.25" customHeight="1" thickBot="1">
      <c r="A76" s="278" t="s">
        <v>1518</v>
      </c>
      <c r="B76" s="310" t="s">
        <v>1423</v>
      </c>
      <c r="C76" s="354">
        <v>105000</v>
      </c>
      <c r="D76" s="354">
        <v>109200</v>
      </c>
      <c r="E76" s="354">
        <v>113600</v>
      </c>
      <c r="F76" s="460">
        <v>105000</v>
      </c>
    </row>
    <row r="77" spans="1:6" ht="16.5" thickBot="1">
      <c r="A77" s="140" t="s">
        <v>1156</v>
      </c>
      <c r="B77" s="322" t="s">
        <v>1155</v>
      </c>
      <c r="C77" s="366">
        <v>1016500</v>
      </c>
      <c r="D77" s="366">
        <v>1057200</v>
      </c>
      <c r="E77" s="366">
        <v>1099400</v>
      </c>
      <c r="F77" s="460">
        <v>1016500</v>
      </c>
    </row>
    <row r="78" spans="1:6" ht="52.5" customHeight="1" thickBot="1">
      <c r="A78" s="290" t="s">
        <v>793</v>
      </c>
      <c r="B78" s="323" t="s">
        <v>794</v>
      </c>
      <c r="C78" s="357">
        <f aca="true" t="shared" si="9" ref="C78:E80">C79</f>
        <v>1583916.71</v>
      </c>
      <c r="D78" s="357">
        <f t="shared" si="9"/>
        <v>1583916.71</v>
      </c>
      <c r="E78" s="357">
        <f t="shared" si="9"/>
        <v>1583916.71</v>
      </c>
      <c r="F78" s="460">
        <v>1583916.71</v>
      </c>
    </row>
    <row r="79" spans="1:6" ht="21.75" customHeight="1" thickBot="1">
      <c r="A79" s="291" t="s">
        <v>795</v>
      </c>
      <c r="B79" s="324" t="s">
        <v>796</v>
      </c>
      <c r="C79" s="358">
        <f t="shared" si="9"/>
        <v>1583916.71</v>
      </c>
      <c r="D79" s="358">
        <f t="shared" si="9"/>
        <v>1583916.71</v>
      </c>
      <c r="E79" s="358">
        <f t="shared" si="9"/>
        <v>1583916.71</v>
      </c>
      <c r="F79" s="460">
        <v>1583916.71</v>
      </c>
    </row>
    <row r="80" spans="1:6" ht="16.5" thickBot="1">
      <c r="A80" s="285" t="s">
        <v>797</v>
      </c>
      <c r="B80" s="319" t="s">
        <v>798</v>
      </c>
      <c r="C80" s="359">
        <f>C81</f>
        <v>1583916.71</v>
      </c>
      <c r="D80" s="359">
        <f t="shared" si="9"/>
        <v>1583916.71</v>
      </c>
      <c r="E80" s="359">
        <f t="shared" si="9"/>
        <v>1583916.71</v>
      </c>
      <c r="F80" s="460">
        <v>1583916.71</v>
      </c>
    </row>
    <row r="81" spans="1:6" ht="32.25" thickBot="1">
      <c r="A81" s="285" t="s">
        <v>321</v>
      </c>
      <c r="B81" s="319" t="s">
        <v>62</v>
      </c>
      <c r="C81" s="359">
        <f>SUM(C82:C83)</f>
        <v>1583916.71</v>
      </c>
      <c r="D81" s="359">
        <f>SUM(D82:D83)</f>
        <v>1583916.71</v>
      </c>
      <c r="E81" s="359">
        <f>SUM(E82:E83)</f>
        <v>1583916.71</v>
      </c>
      <c r="F81" s="460">
        <v>1583916.71</v>
      </c>
    </row>
    <row r="82" spans="1:6" ht="32.25" thickBot="1">
      <c r="A82" s="286" t="s">
        <v>1180</v>
      </c>
      <c r="B82" s="325" t="s">
        <v>62</v>
      </c>
      <c r="C82" s="367">
        <v>253916.71</v>
      </c>
      <c r="D82" s="367">
        <v>253916.71</v>
      </c>
      <c r="E82" s="367">
        <v>253916.71</v>
      </c>
      <c r="F82" s="460">
        <v>253916.71</v>
      </c>
    </row>
    <row r="83" spans="1:6" ht="32.25" thickBot="1">
      <c r="A83" s="286" t="s">
        <v>1424</v>
      </c>
      <c r="B83" s="325" t="s">
        <v>62</v>
      </c>
      <c r="C83" s="361">
        <v>1330000</v>
      </c>
      <c r="D83" s="361">
        <v>1330000</v>
      </c>
      <c r="E83" s="361">
        <v>1330000</v>
      </c>
      <c r="F83" s="460">
        <v>1330000</v>
      </c>
    </row>
    <row r="84" spans="1:6" ht="32.25" thickBot="1">
      <c r="A84" s="290" t="s">
        <v>799</v>
      </c>
      <c r="B84" s="323" t="s">
        <v>800</v>
      </c>
      <c r="C84" s="357">
        <f>C85+C89</f>
        <v>510000</v>
      </c>
      <c r="D84" s="357">
        <f>D85+D89</f>
        <v>510000</v>
      </c>
      <c r="E84" s="357">
        <f>E85+E89</f>
        <v>510000</v>
      </c>
      <c r="F84" s="460">
        <v>510000</v>
      </c>
    </row>
    <row r="85" spans="1:6" ht="95.25" thickBot="1">
      <c r="A85" s="291" t="s">
        <v>801</v>
      </c>
      <c r="B85" s="324" t="s">
        <v>802</v>
      </c>
      <c r="C85" s="358">
        <f aca="true" t="shared" si="10" ref="C85:E87">C86</f>
        <v>100000</v>
      </c>
      <c r="D85" s="358">
        <f t="shared" si="10"/>
        <v>100000</v>
      </c>
      <c r="E85" s="358">
        <f t="shared" si="10"/>
        <v>100000</v>
      </c>
      <c r="F85" s="460">
        <v>100000</v>
      </c>
    </row>
    <row r="86" spans="1:6" ht="111" thickBot="1">
      <c r="A86" s="285" t="s">
        <v>803</v>
      </c>
      <c r="B86" s="319" t="s">
        <v>804</v>
      </c>
      <c r="C86" s="359">
        <f t="shared" si="10"/>
        <v>100000</v>
      </c>
      <c r="D86" s="359">
        <f t="shared" si="10"/>
        <v>100000</v>
      </c>
      <c r="E86" s="359">
        <f t="shared" si="10"/>
        <v>100000</v>
      </c>
      <c r="F86" s="460">
        <v>100000</v>
      </c>
    </row>
    <row r="87" spans="1:6" ht="111" thickBot="1">
      <c r="A87" s="285" t="s">
        <v>805</v>
      </c>
      <c r="B87" s="319" t="s">
        <v>104</v>
      </c>
      <c r="C87" s="359">
        <f t="shared" si="10"/>
        <v>100000</v>
      </c>
      <c r="D87" s="359">
        <f t="shared" si="10"/>
        <v>100000</v>
      </c>
      <c r="E87" s="359">
        <f t="shared" si="10"/>
        <v>100000</v>
      </c>
      <c r="F87" s="460">
        <v>100000</v>
      </c>
    </row>
    <row r="88" spans="1:6" ht="111" thickBot="1">
      <c r="A88" s="286" t="s">
        <v>297</v>
      </c>
      <c r="B88" s="325" t="s">
        <v>104</v>
      </c>
      <c r="C88" s="361">
        <v>100000</v>
      </c>
      <c r="D88" s="361">
        <v>100000</v>
      </c>
      <c r="E88" s="361">
        <v>100000</v>
      </c>
      <c r="F88" s="460">
        <v>100000</v>
      </c>
    </row>
    <row r="89" spans="1:6" ht="32.25" thickBot="1">
      <c r="A89" s="291" t="s">
        <v>806</v>
      </c>
      <c r="B89" s="324" t="s">
        <v>807</v>
      </c>
      <c r="C89" s="358">
        <f>C90+C95</f>
        <v>410000</v>
      </c>
      <c r="D89" s="358">
        <f>D90+D95</f>
        <v>410000</v>
      </c>
      <c r="E89" s="358">
        <f>E90+E95</f>
        <v>410000</v>
      </c>
      <c r="F89" s="460">
        <v>410000</v>
      </c>
    </row>
    <row r="90" spans="1:6" ht="48" thickBot="1">
      <c r="A90" s="285" t="s">
        <v>808</v>
      </c>
      <c r="B90" s="319" t="s">
        <v>809</v>
      </c>
      <c r="C90" s="359">
        <f>C91+C93</f>
        <v>310000</v>
      </c>
      <c r="D90" s="359">
        <f>D91+D93</f>
        <v>310000</v>
      </c>
      <c r="E90" s="359">
        <f>E91+E93</f>
        <v>310000</v>
      </c>
      <c r="F90" s="460">
        <v>310000</v>
      </c>
    </row>
    <row r="91" spans="1:6" ht="33" customHeight="1" thickBot="1">
      <c r="A91" s="285" t="s">
        <v>1525</v>
      </c>
      <c r="B91" s="319" t="s">
        <v>1425</v>
      </c>
      <c r="C91" s="359">
        <f>C92</f>
        <v>300000</v>
      </c>
      <c r="D91" s="359">
        <f>D92</f>
        <v>300000</v>
      </c>
      <c r="E91" s="359">
        <f>E92</f>
        <v>300000</v>
      </c>
      <c r="F91" s="460">
        <v>300000</v>
      </c>
    </row>
    <row r="92" spans="1:6" ht="66" customHeight="1" thickBot="1">
      <c r="A92" s="286" t="s">
        <v>946</v>
      </c>
      <c r="B92" s="325" t="s">
        <v>945</v>
      </c>
      <c r="C92" s="361">
        <v>300000</v>
      </c>
      <c r="D92" s="361">
        <v>300000</v>
      </c>
      <c r="E92" s="361">
        <v>300000</v>
      </c>
      <c r="F92" s="460">
        <v>300000</v>
      </c>
    </row>
    <row r="93" spans="1:6" ht="62.25" customHeight="1" thickBot="1">
      <c r="A93" s="285" t="s">
        <v>810</v>
      </c>
      <c r="B93" s="319" t="s">
        <v>313</v>
      </c>
      <c r="C93" s="359">
        <f>C94</f>
        <v>10000</v>
      </c>
      <c r="D93" s="359">
        <f>D94</f>
        <v>10000</v>
      </c>
      <c r="E93" s="359">
        <f>E94</f>
        <v>10000</v>
      </c>
      <c r="F93" s="460">
        <v>10000</v>
      </c>
    </row>
    <row r="94" spans="1:6" ht="50.25" customHeight="1" thickBot="1">
      <c r="A94" s="286" t="s">
        <v>318</v>
      </c>
      <c r="B94" s="325" t="s">
        <v>313</v>
      </c>
      <c r="C94" s="361">
        <v>10000</v>
      </c>
      <c r="D94" s="361">
        <v>10000</v>
      </c>
      <c r="E94" s="361">
        <v>10000</v>
      </c>
      <c r="F94" s="460">
        <v>10000</v>
      </c>
    </row>
    <row r="95" spans="1:6" ht="48" customHeight="1" thickBot="1">
      <c r="A95" s="285" t="s">
        <v>811</v>
      </c>
      <c r="B95" s="319" t="s">
        <v>812</v>
      </c>
      <c r="C95" s="359">
        <f aca="true" t="shared" si="11" ref="C95:E96">C96</f>
        <v>100000</v>
      </c>
      <c r="D95" s="359">
        <f t="shared" si="11"/>
        <v>100000</v>
      </c>
      <c r="E95" s="359">
        <f t="shared" si="11"/>
        <v>100000</v>
      </c>
      <c r="F95" s="460">
        <v>100000</v>
      </c>
    </row>
    <row r="96" spans="1:6" ht="63.75" thickBot="1">
      <c r="A96" s="421" t="s">
        <v>813</v>
      </c>
      <c r="B96" s="422" t="s">
        <v>105</v>
      </c>
      <c r="C96" s="359">
        <f t="shared" si="11"/>
        <v>100000</v>
      </c>
      <c r="D96" s="359">
        <f t="shared" si="11"/>
        <v>100000</v>
      </c>
      <c r="E96" s="359">
        <f t="shared" si="11"/>
        <v>100000</v>
      </c>
      <c r="F96" s="460">
        <v>100000</v>
      </c>
    </row>
    <row r="97" spans="1:6" ht="63.75" thickBot="1">
      <c r="A97" s="423" t="s">
        <v>295</v>
      </c>
      <c r="B97" s="424" t="s">
        <v>105</v>
      </c>
      <c r="C97" s="361">
        <v>100000</v>
      </c>
      <c r="D97" s="361">
        <v>100000</v>
      </c>
      <c r="E97" s="361">
        <v>100000</v>
      </c>
      <c r="F97" s="460">
        <v>100000</v>
      </c>
    </row>
    <row r="98" spans="1:6" ht="16.5" thickBot="1">
      <c r="A98" s="290" t="s">
        <v>814</v>
      </c>
      <c r="B98" s="323" t="s">
        <v>815</v>
      </c>
      <c r="C98" s="357">
        <f>C99</f>
        <v>19800</v>
      </c>
      <c r="D98" s="357">
        <f>D99</f>
        <v>19800</v>
      </c>
      <c r="E98" s="357">
        <f>E99</f>
        <v>19800</v>
      </c>
      <c r="F98" s="460">
        <v>19800</v>
      </c>
    </row>
    <row r="99" spans="1:6" ht="53.25" customHeight="1" thickBot="1">
      <c r="A99" s="292" t="s">
        <v>1426</v>
      </c>
      <c r="B99" s="326" t="s">
        <v>1427</v>
      </c>
      <c r="C99" s="368">
        <f>C100+C103+C106+C109+C112</f>
        <v>19800</v>
      </c>
      <c r="D99" s="368">
        <f>D100+D103+D106+D109+D112</f>
        <v>19800</v>
      </c>
      <c r="E99" s="368">
        <f>E100+E103+E106+E109+E112</f>
        <v>19800</v>
      </c>
      <c r="F99" s="460">
        <v>19800</v>
      </c>
    </row>
    <row r="100" spans="1:6" ht="66.75" customHeight="1" thickBot="1">
      <c r="A100" s="291" t="s">
        <v>1185</v>
      </c>
      <c r="B100" s="324" t="s">
        <v>1186</v>
      </c>
      <c r="C100" s="358">
        <f>C101</f>
        <v>1800</v>
      </c>
      <c r="D100" s="358">
        <f>D101</f>
        <v>1800</v>
      </c>
      <c r="E100" s="358">
        <f>E101</f>
        <v>1800</v>
      </c>
      <c r="F100" s="460">
        <v>1800</v>
      </c>
    </row>
    <row r="101" spans="1:6" ht="98.25" customHeight="1" thickBot="1">
      <c r="A101" s="285" t="s">
        <v>1187</v>
      </c>
      <c r="B101" s="425" t="s">
        <v>1188</v>
      </c>
      <c r="C101" s="359">
        <f>SUM(C102:C102)</f>
        <v>1800</v>
      </c>
      <c r="D101" s="359">
        <f>SUM(D102:D102)</f>
        <v>1800</v>
      </c>
      <c r="E101" s="359">
        <f>SUM(E102:E102)</f>
        <v>1800</v>
      </c>
      <c r="F101" s="460">
        <v>1800</v>
      </c>
    </row>
    <row r="102" spans="1:6" ht="100.5" customHeight="1" thickBot="1">
      <c r="A102" s="134" t="s">
        <v>1552</v>
      </c>
      <c r="B102" s="426" t="s">
        <v>1188</v>
      </c>
      <c r="C102" s="360">
        <v>1800</v>
      </c>
      <c r="D102" s="360">
        <v>1800</v>
      </c>
      <c r="E102" s="360">
        <v>1800</v>
      </c>
      <c r="F102" s="460">
        <v>1800</v>
      </c>
    </row>
    <row r="103" spans="1:6" ht="97.5" customHeight="1" thickBot="1">
      <c r="A103" s="291" t="s">
        <v>1189</v>
      </c>
      <c r="B103" s="324" t="s">
        <v>1192</v>
      </c>
      <c r="C103" s="358">
        <f aca="true" t="shared" si="12" ref="C103:E104">SUM(C104)</f>
        <v>3000</v>
      </c>
      <c r="D103" s="358">
        <f t="shared" si="12"/>
        <v>3000</v>
      </c>
      <c r="E103" s="358">
        <f t="shared" si="12"/>
        <v>3000</v>
      </c>
      <c r="F103" s="460">
        <v>3000</v>
      </c>
    </row>
    <row r="104" spans="1:6" ht="75.75" customHeight="1" thickBot="1">
      <c r="A104" s="285" t="s">
        <v>1190</v>
      </c>
      <c r="B104" s="319" t="s">
        <v>1191</v>
      </c>
      <c r="C104" s="359">
        <f t="shared" si="12"/>
        <v>3000</v>
      </c>
      <c r="D104" s="359">
        <f t="shared" si="12"/>
        <v>3000</v>
      </c>
      <c r="E104" s="359">
        <f t="shared" si="12"/>
        <v>3000</v>
      </c>
      <c r="F104" s="460">
        <v>3000</v>
      </c>
    </row>
    <row r="105" spans="1:6" ht="93" customHeight="1" thickBot="1">
      <c r="A105" s="293" t="s">
        <v>1485</v>
      </c>
      <c r="B105" s="328" t="s">
        <v>1191</v>
      </c>
      <c r="C105" s="361">
        <v>3000</v>
      </c>
      <c r="D105" s="361">
        <v>3000</v>
      </c>
      <c r="E105" s="361">
        <v>3000</v>
      </c>
      <c r="F105" s="460">
        <v>3000</v>
      </c>
    </row>
    <row r="106" spans="1:6" ht="60.75" customHeight="1" thickBot="1">
      <c r="A106" s="291" t="s">
        <v>1193</v>
      </c>
      <c r="B106" s="324" t="s">
        <v>1196</v>
      </c>
      <c r="C106" s="358">
        <f aca="true" t="shared" si="13" ref="C106:E107">SUM(C107)</f>
        <v>6000</v>
      </c>
      <c r="D106" s="358">
        <f t="shared" si="13"/>
        <v>6000</v>
      </c>
      <c r="E106" s="358">
        <f t="shared" si="13"/>
        <v>6000</v>
      </c>
      <c r="F106" s="460">
        <v>6000</v>
      </c>
    </row>
    <row r="107" spans="1:6" ht="98.25" customHeight="1" thickBot="1">
      <c r="A107" s="285" t="s">
        <v>1194</v>
      </c>
      <c r="B107" s="319" t="s">
        <v>1195</v>
      </c>
      <c r="C107" s="359">
        <f t="shared" si="13"/>
        <v>6000</v>
      </c>
      <c r="D107" s="359">
        <f t="shared" si="13"/>
        <v>6000</v>
      </c>
      <c r="E107" s="359">
        <f t="shared" si="13"/>
        <v>6000</v>
      </c>
      <c r="F107" s="460">
        <v>6000</v>
      </c>
    </row>
    <row r="108" spans="1:6" ht="102.75" customHeight="1" thickBot="1">
      <c r="A108" s="293" t="s">
        <v>1486</v>
      </c>
      <c r="B108" s="328" t="s">
        <v>1195</v>
      </c>
      <c r="C108" s="361">
        <v>6000</v>
      </c>
      <c r="D108" s="361">
        <v>6000</v>
      </c>
      <c r="E108" s="361">
        <v>6000</v>
      </c>
      <c r="F108" s="460">
        <v>6000</v>
      </c>
    </row>
    <row r="109" spans="1:6" ht="79.5" hidden="1" thickBot="1">
      <c r="A109" s="291" t="s">
        <v>1197</v>
      </c>
      <c r="B109" s="324" t="s">
        <v>1200</v>
      </c>
      <c r="C109" s="358">
        <f aca="true" t="shared" si="14" ref="C109:E110">SUM(C110)</f>
        <v>0</v>
      </c>
      <c r="D109" s="358">
        <f t="shared" si="14"/>
        <v>0</v>
      </c>
      <c r="E109" s="358">
        <f t="shared" si="14"/>
        <v>0</v>
      </c>
      <c r="F109" s="460">
        <v>0</v>
      </c>
    </row>
    <row r="110" spans="1:6" ht="111" hidden="1" thickBot="1">
      <c r="A110" s="285" t="s">
        <v>1198</v>
      </c>
      <c r="B110" s="319" t="s">
        <v>1199</v>
      </c>
      <c r="C110" s="359">
        <f t="shared" si="14"/>
        <v>0</v>
      </c>
      <c r="D110" s="359">
        <f t="shared" si="14"/>
        <v>0</v>
      </c>
      <c r="E110" s="359">
        <f t="shared" si="14"/>
        <v>0</v>
      </c>
      <c r="F110" s="460">
        <v>0</v>
      </c>
    </row>
    <row r="111" spans="1:5" ht="111" hidden="1" thickBot="1">
      <c r="A111" s="286" t="s">
        <v>1428</v>
      </c>
      <c r="B111" s="325" t="s">
        <v>1199</v>
      </c>
      <c r="C111" s="361"/>
      <c r="D111" s="361"/>
      <c r="E111" s="361"/>
    </row>
    <row r="112" spans="1:6" ht="79.5" thickBot="1">
      <c r="A112" s="291" t="s">
        <v>1201</v>
      </c>
      <c r="B112" s="324" t="s">
        <v>1204</v>
      </c>
      <c r="C112" s="358">
        <f aca="true" t="shared" si="15" ref="C112:E113">SUM(C113)</f>
        <v>9000</v>
      </c>
      <c r="D112" s="358">
        <f t="shared" si="15"/>
        <v>9000</v>
      </c>
      <c r="E112" s="358">
        <f t="shared" si="15"/>
        <v>9000</v>
      </c>
      <c r="F112" s="460">
        <v>9000</v>
      </c>
    </row>
    <row r="113" spans="1:6" ht="117" customHeight="1" thickBot="1">
      <c r="A113" s="285" t="s">
        <v>1202</v>
      </c>
      <c r="B113" s="319" t="s">
        <v>1203</v>
      </c>
      <c r="C113" s="359">
        <f t="shared" si="15"/>
        <v>9000</v>
      </c>
      <c r="D113" s="359">
        <f t="shared" si="15"/>
        <v>9000</v>
      </c>
      <c r="E113" s="359">
        <f t="shared" si="15"/>
        <v>9000</v>
      </c>
      <c r="F113" s="460">
        <v>9000</v>
      </c>
    </row>
    <row r="114" spans="1:6" ht="108.75" customHeight="1" thickBot="1">
      <c r="A114" s="286" t="s">
        <v>1487</v>
      </c>
      <c r="B114" s="325" t="s">
        <v>1203</v>
      </c>
      <c r="C114" s="361">
        <v>9000</v>
      </c>
      <c r="D114" s="361">
        <v>9000</v>
      </c>
      <c r="E114" s="361">
        <v>9000</v>
      </c>
      <c r="F114" s="460">
        <v>9000</v>
      </c>
    </row>
    <row r="115" spans="1:6" ht="18" customHeight="1" thickBot="1">
      <c r="A115" s="290" t="s">
        <v>816</v>
      </c>
      <c r="B115" s="323" t="s">
        <v>817</v>
      </c>
      <c r="C115" s="357">
        <f aca="true" t="shared" si="16" ref="C115:E116">C116</f>
        <v>0</v>
      </c>
      <c r="D115" s="357">
        <f t="shared" si="16"/>
        <v>0</v>
      </c>
      <c r="E115" s="357">
        <f t="shared" si="16"/>
        <v>0</v>
      </c>
      <c r="F115" s="460">
        <v>0</v>
      </c>
    </row>
    <row r="116" spans="1:6" ht="16.5" thickBot="1">
      <c r="A116" s="291" t="s">
        <v>818</v>
      </c>
      <c r="B116" s="324" t="s">
        <v>819</v>
      </c>
      <c r="C116" s="358">
        <f t="shared" si="16"/>
        <v>0</v>
      </c>
      <c r="D116" s="358">
        <f t="shared" si="16"/>
        <v>0</v>
      </c>
      <c r="E116" s="358">
        <f t="shared" si="16"/>
        <v>0</v>
      </c>
      <c r="F116" s="460">
        <v>0</v>
      </c>
    </row>
    <row r="117" spans="1:6" ht="32.25" thickBot="1">
      <c r="A117" s="285" t="s">
        <v>323</v>
      </c>
      <c r="B117" s="319" t="s">
        <v>49</v>
      </c>
      <c r="C117" s="359">
        <f>SUM(C118:C119)</f>
        <v>0</v>
      </c>
      <c r="D117" s="359">
        <f>SUM(D118:D119)</f>
        <v>0</v>
      </c>
      <c r="E117" s="359">
        <f>SUM(E118:E119)</f>
        <v>0</v>
      </c>
      <c r="F117" s="460">
        <v>0</v>
      </c>
    </row>
    <row r="118" spans="1:6" ht="32.25" thickBot="1">
      <c r="A118" s="286" t="s">
        <v>63</v>
      </c>
      <c r="B118" s="327" t="s">
        <v>142</v>
      </c>
      <c r="C118" s="361">
        <v>0</v>
      </c>
      <c r="D118" s="361">
        <v>0</v>
      </c>
      <c r="E118" s="361">
        <v>0</v>
      </c>
      <c r="F118" s="460">
        <v>0</v>
      </c>
    </row>
    <row r="119" spans="1:6" ht="32.25" thickBot="1">
      <c r="A119" s="286" t="s">
        <v>141</v>
      </c>
      <c r="B119" s="325" t="s">
        <v>142</v>
      </c>
      <c r="C119" s="361">
        <v>0</v>
      </c>
      <c r="D119" s="361">
        <v>0</v>
      </c>
      <c r="E119" s="361">
        <v>0</v>
      </c>
      <c r="F119" s="460">
        <v>0</v>
      </c>
    </row>
    <row r="120" spans="1:6" ht="18" customHeight="1" thickBot="1">
      <c r="A120" s="505" t="s">
        <v>820</v>
      </c>
      <c r="B120" s="506" t="s">
        <v>64</v>
      </c>
      <c r="C120" s="369">
        <f>C121+C202</f>
        <v>293497405.42</v>
      </c>
      <c r="D120" s="369">
        <f>D121+D202</f>
        <v>180819210.16</v>
      </c>
      <c r="E120" s="369">
        <f>E121+E202</f>
        <v>178747825.93</v>
      </c>
      <c r="F120" s="460">
        <v>293970070.44</v>
      </c>
    </row>
    <row r="121" spans="1:6" ht="55.5" customHeight="1" thickBot="1">
      <c r="A121" s="290" t="s">
        <v>821</v>
      </c>
      <c r="B121" s="323" t="s">
        <v>822</v>
      </c>
      <c r="C121" s="357">
        <f>C122+C129+C170+C195</f>
        <v>293958153.42</v>
      </c>
      <c r="D121" s="357">
        <f>D122+D129+D170+D195</f>
        <v>180819210.16</v>
      </c>
      <c r="E121" s="357">
        <f>E122+E129+E170+E195</f>
        <v>178747825.93</v>
      </c>
      <c r="F121" s="460">
        <v>294430818.44</v>
      </c>
    </row>
    <row r="122" spans="1:6" ht="32.25" thickBot="1">
      <c r="A122" s="294" t="s">
        <v>1013</v>
      </c>
      <c r="B122" s="329" t="s">
        <v>823</v>
      </c>
      <c r="C122" s="370">
        <f>C123+C126</f>
        <v>127786120</v>
      </c>
      <c r="D122" s="370">
        <f>D123+D126</f>
        <v>105093000</v>
      </c>
      <c r="E122" s="370">
        <f>E123+E126</f>
        <v>108672400</v>
      </c>
      <c r="F122" s="460">
        <v>127786120</v>
      </c>
    </row>
    <row r="123" spans="1:6" ht="32.25" thickBot="1">
      <c r="A123" s="285" t="s">
        <v>1012</v>
      </c>
      <c r="B123" s="330" t="s">
        <v>824</v>
      </c>
      <c r="C123" s="359">
        <f aca="true" t="shared" si="17" ref="C123:E124">C124</f>
        <v>111835300</v>
      </c>
      <c r="D123" s="359">
        <f t="shared" si="17"/>
        <v>105093000</v>
      </c>
      <c r="E123" s="359">
        <f t="shared" si="17"/>
        <v>108672400</v>
      </c>
      <c r="F123" s="460">
        <v>111835300</v>
      </c>
    </row>
    <row r="124" spans="1:6" ht="32.25" thickBot="1">
      <c r="A124" s="285" t="s">
        <v>1011</v>
      </c>
      <c r="B124" s="319" t="s">
        <v>26</v>
      </c>
      <c r="C124" s="359">
        <f t="shared" si="17"/>
        <v>111835300</v>
      </c>
      <c r="D124" s="359">
        <f t="shared" si="17"/>
        <v>105093000</v>
      </c>
      <c r="E124" s="359">
        <f t="shared" si="17"/>
        <v>108672400</v>
      </c>
      <c r="F124" s="460">
        <v>111835300</v>
      </c>
    </row>
    <row r="125" spans="1:6" ht="51.75" customHeight="1" thickBot="1">
      <c r="A125" s="286" t="s">
        <v>1010</v>
      </c>
      <c r="B125" s="11" t="s">
        <v>1488</v>
      </c>
      <c r="C125" s="361">
        <v>111835300</v>
      </c>
      <c r="D125" s="361">
        <v>105093000</v>
      </c>
      <c r="E125" s="361">
        <v>108672400</v>
      </c>
      <c r="F125" s="460">
        <v>111835300</v>
      </c>
    </row>
    <row r="126" spans="1:6" ht="32.25" thickBot="1">
      <c r="A126" s="285" t="s">
        <v>1014</v>
      </c>
      <c r="B126" s="319" t="s">
        <v>175</v>
      </c>
      <c r="C126" s="359">
        <f aca="true" t="shared" si="18" ref="C126:E127">C127</f>
        <v>15950820</v>
      </c>
      <c r="D126" s="359">
        <f t="shared" si="18"/>
        <v>0</v>
      </c>
      <c r="E126" s="359">
        <f t="shared" si="18"/>
        <v>0</v>
      </c>
      <c r="F126" s="460">
        <v>15950820</v>
      </c>
    </row>
    <row r="127" spans="1:6" ht="51.75" customHeight="1" thickBot="1">
      <c r="A127" s="285" t="s">
        <v>1015</v>
      </c>
      <c r="B127" s="319" t="s">
        <v>167</v>
      </c>
      <c r="C127" s="359">
        <f t="shared" si="18"/>
        <v>15950820</v>
      </c>
      <c r="D127" s="359">
        <f t="shared" si="18"/>
        <v>0</v>
      </c>
      <c r="E127" s="359">
        <f t="shared" si="18"/>
        <v>0</v>
      </c>
      <c r="F127" s="460">
        <v>15950820</v>
      </c>
    </row>
    <row r="128" spans="1:6" ht="54" customHeight="1" thickBot="1">
      <c r="A128" s="286" t="s">
        <v>1016</v>
      </c>
      <c r="B128" s="325" t="s">
        <v>167</v>
      </c>
      <c r="C128" s="361">
        <v>15950820</v>
      </c>
      <c r="D128" s="361">
        <v>0</v>
      </c>
      <c r="E128" s="361">
        <v>0</v>
      </c>
      <c r="F128" s="460">
        <v>15950820</v>
      </c>
    </row>
    <row r="129" spans="1:6" ht="36" customHeight="1" thickBot="1">
      <c r="A129" s="294" t="s">
        <v>1017</v>
      </c>
      <c r="B129" s="329" t="s">
        <v>825</v>
      </c>
      <c r="C129" s="370">
        <f>C130+C133+C136+C154+C157+C142+C145+C139+C148+C151</f>
        <v>25037104.84</v>
      </c>
      <c r="D129" s="370">
        <f>D130+D133+D136+D154+D157+D142+D145+D139+D148+D151</f>
        <v>19717579.24</v>
      </c>
      <c r="E129" s="370">
        <f>E130+E133+E136+E154+E157+E142+E145+E139+E148+E151</f>
        <v>14085434.8</v>
      </c>
      <c r="F129" s="460">
        <v>25506894.09</v>
      </c>
    </row>
    <row r="130" spans="1:6" ht="54" customHeight="1" thickBot="1">
      <c r="A130" s="291" t="s">
        <v>1171</v>
      </c>
      <c r="B130" s="324" t="s">
        <v>1429</v>
      </c>
      <c r="C130" s="358">
        <f aca="true" t="shared" si="19" ref="C130:E131">C131</f>
        <v>400000</v>
      </c>
      <c r="D130" s="358">
        <f t="shared" si="19"/>
        <v>0</v>
      </c>
      <c r="E130" s="358">
        <f t="shared" si="19"/>
        <v>0</v>
      </c>
      <c r="F130" s="460">
        <v>400000</v>
      </c>
    </row>
    <row r="131" spans="1:6" ht="54.75" customHeight="1" thickBot="1">
      <c r="A131" s="285" t="s">
        <v>1430</v>
      </c>
      <c r="B131" s="319" t="s">
        <v>1352</v>
      </c>
      <c r="C131" s="359">
        <f t="shared" si="19"/>
        <v>400000</v>
      </c>
      <c r="D131" s="359">
        <f t="shared" si="19"/>
        <v>0</v>
      </c>
      <c r="E131" s="359">
        <f t="shared" si="19"/>
        <v>0</v>
      </c>
      <c r="F131" s="460">
        <v>400000</v>
      </c>
    </row>
    <row r="132" spans="1:6" ht="52.5" customHeight="1" thickBot="1">
      <c r="A132" s="500" t="s">
        <v>1172</v>
      </c>
      <c r="B132" s="501" t="s">
        <v>1352</v>
      </c>
      <c r="C132" s="502">
        <v>400000</v>
      </c>
      <c r="D132" s="371">
        <v>0</v>
      </c>
      <c r="E132" s="371">
        <v>0</v>
      </c>
      <c r="F132" s="460">
        <v>400000</v>
      </c>
    </row>
    <row r="133" spans="1:6" ht="103.5" customHeight="1" thickBot="1">
      <c r="A133" s="289" t="s">
        <v>1018</v>
      </c>
      <c r="B133" s="381" t="s">
        <v>826</v>
      </c>
      <c r="C133" s="353">
        <f aca="true" t="shared" si="20" ref="C133:E134">C134</f>
        <v>7590514.96</v>
      </c>
      <c r="D133" s="353">
        <f t="shared" si="20"/>
        <v>8053665.02</v>
      </c>
      <c r="E133" s="353">
        <f t="shared" si="20"/>
        <v>0</v>
      </c>
      <c r="F133" s="460">
        <v>7590514.96</v>
      </c>
    </row>
    <row r="134" spans="1:6" ht="115.5" customHeight="1" thickBot="1">
      <c r="A134" s="276" t="s">
        <v>1019</v>
      </c>
      <c r="B134" s="382" t="s">
        <v>288</v>
      </c>
      <c r="C134" s="351">
        <f t="shared" si="20"/>
        <v>7590514.96</v>
      </c>
      <c r="D134" s="351">
        <f t="shared" si="20"/>
        <v>8053665.02</v>
      </c>
      <c r="E134" s="351">
        <f t="shared" si="20"/>
        <v>0</v>
      </c>
      <c r="F134" s="460">
        <v>7590514.96</v>
      </c>
    </row>
    <row r="135" spans="1:6" ht="116.25" customHeight="1" thickBot="1">
      <c r="A135" s="76" t="s">
        <v>1020</v>
      </c>
      <c r="B135" s="193" t="s">
        <v>288</v>
      </c>
      <c r="C135" s="350">
        <v>7590514.96</v>
      </c>
      <c r="D135" s="350">
        <v>8053665.02</v>
      </c>
      <c r="E135" s="350">
        <v>0</v>
      </c>
      <c r="F135" s="460">
        <v>7590514.96</v>
      </c>
    </row>
    <row r="136" spans="1:6" ht="69" customHeight="1" thickBot="1">
      <c r="A136" s="289" t="s">
        <v>1021</v>
      </c>
      <c r="B136" s="383" t="s">
        <v>1431</v>
      </c>
      <c r="C136" s="353">
        <f aca="true" t="shared" si="21" ref="C136:E137">C137</f>
        <v>0</v>
      </c>
      <c r="D136" s="353">
        <f t="shared" si="21"/>
        <v>0</v>
      </c>
      <c r="E136" s="353">
        <f t="shared" si="21"/>
        <v>0</v>
      </c>
      <c r="F136" s="460">
        <v>0</v>
      </c>
    </row>
    <row r="137" spans="1:6" ht="63.75" thickBot="1">
      <c r="A137" s="276" t="s">
        <v>1022</v>
      </c>
      <c r="B137" s="384" t="s">
        <v>1432</v>
      </c>
      <c r="C137" s="351">
        <f t="shared" si="21"/>
        <v>0</v>
      </c>
      <c r="D137" s="351">
        <f t="shared" si="21"/>
        <v>0</v>
      </c>
      <c r="E137" s="351">
        <f t="shared" si="21"/>
        <v>0</v>
      </c>
      <c r="F137" s="460">
        <v>0</v>
      </c>
    </row>
    <row r="138" spans="1:6" ht="69.75" customHeight="1" thickBot="1">
      <c r="A138" s="76" t="s">
        <v>1023</v>
      </c>
      <c r="B138" s="385" t="s">
        <v>1489</v>
      </c>
      <c r="C138" s="350">
        <v>0</v>
      </c>
      <c r="D138" s="350">
        <v>0</v>
      </c>
      <c r="E138" s="350">
        <v>0</v>
      </c>
      <c r="F138" s="460">
        <v>0</v>
      </c>
    </row>
    <row r="139" spans="1:7" ht="95.25" customHeight="1">
      <c r="A139" s="211" t="s">
        <v>1570</v>
      </c>
      <c r="B139" s="196" t="s">
        <v>1574</v>
      </c>
      <c r="C139" s="194">
        <f aca="true" t="shared" si="22" ref="C139:E140">C140</f>
        <v>1568735.36</v>
      </c>
      <c r="D139" s="194">
        <f t="shared" si="22"/>
        <v>1568745.8</v>
      </c>
      <c r="E139" s="210">
        <f t="shared" si="22"/>
        <v>3137011.8</v>
      </c>
      <c r="F139" s="460">
        <v>1568735.36</v>
      </c>
      <c r="G139" s="490"/>
    </row>
    <row r="140" spans="1:6" ht="114" customHeight="1">
      <c r="A140" s="214" t="s">
        <v>1571</v>
      </c>
      <c r="B140" s="235" t="s">
        <v>1573</v>
      </c>
      <c r="C140" s="208">
        <f t="shared" si="22"/>
        <v>1568735.36</v>
      </c>
      <c r="D140" s="208">
        <f t="shared" si="22"/>
        <v>1568745.8</v>
      </c>
      <c r="E140" s="215">
        <f t="shared" si="22"/>
        <v>3137011.8</v>
      </c>
      <c r="F140" s="460">
        <v>1568735.36</v>
      </c>
    </row>
    <row r="141" spans="1:6" ht="119.25" customHeight="1">
      <c r="A141" s="212" t="s">
        <v>1572</v>
      </c>
      <c r="B141" s="236" t="s">
        <v>1573</v>
      </c>
      <c r="C141" s="141">
        <v>1568735.36</v>
      </c>
      <c r="D141" s="141">
        <v>1568745.8</v>
      </c>
      <c r="E141" s="209">
        <v>3137011.8</v>
      </c>
      <c r="F141" s="460">
        <v>1568735.36</v>
      </c>
    </row>
    <row r="142" spans="1:6" ht="66.75" customHeight="1">
      <c r="A142" s="211" t="s">
        <v>1342</v>
      </c>
      <c r="B142" s="196" t="s">
        <v>1339</v>
      </c>
      <c r="C142" s="194">
        <f aca="true" t="shared" si="23" ref="C142:E149">C143</f>
        <v>3799104.7800000003</v>
      </c>
      <c r="D142" s="194">
        <f t="shared" si="23"/>
        <v>3168814.82</v>
      </c>
      <c r="E142" s="210">
        <f t="shared" si="23"/>
        <v>4691028.6</v>
      </c>
      <c r="F142" s="460">
        <v>3799104.7800000003</v>
      </c>
    </row>
    <row r="143" spans="1:6" ht="66.75" customHeight="1">
      <c r="A143" s="214" t="s">
        <v>1341</v>
      </c>
      <c r="B143" s="235" t="s">
        <v>1340</v>
      </c>
      <c r="C143" s="208">
        <f t="shared" si="23"/>
        <v>3799104.7800000003</v>
      </c>
      <c r="D143" s="208">
        <f t="shared" si="23"/>
        <v>3168814.82</v>
      </c>
      <c r="E143" s="215">
        <f t="shared" si="23"/>
        <v>4691028.6</v>
      </c>
      <c r="F143" s="460">
        <v>3799104.7800000003</v>
      </c>
    </row>
    <row r="144" spans="1:6" ht="69.75" customHeight="1">
      <c r="A144" s="212" t="s">
        <v>1343</v>
      </c>
      <c r="B144" s="236" t="s">
        <v>1340</v>
      </c>
      <c r="C144" s="493">
        <f>6763641.98-2964537.2</f>
        <v>3799104.7800000003</v>
      </c>
      <c r="D144" s="141">
        <v>3168814.82</v>
      </c>
      <c r="E144" s="209">
        <v>4691028.6</v>
      </c>
      <c r="F144" s="460">
        <v>3799104.7800000003</v>
      </c>
    </row>
    <row r="145" spans="1:6" ht="72" customHeight="1">
      <c r="A145" s="211" t="s">
        <v>1520</v>
      </c>
      <c r="B145" s="196" t="s">
        <v>1521</v>
      </c>
      <c r="C145" s="194">
        <f t="shared" si="23"/>
        <v>5802860.8</v>
      </c>
      <c r="D145" s="194">
        <f t="shared" si="23"/>
        <v>5976491.2</v>
      </c>
      <c r="E145" s="210">
        <f t="shared" si="23"/>
        <v>5800014.4</v>
      </c>
      <c r="F145" s="460">
        <v>5802860.8</v>
      </c>
    </row>
    <row r="146" spans="1:6" ht="79.5" customHeight="1">
      <c r="A146" s="214" t="s">
        <v>1522</v>
      </c>
      <c r="B146" s="235" t="s">
        <v>1523</v>
      </c>
      <c r="C146" s="208">
        <f t="shared" si="23"/>
        <v>5802860.8</v>
      </c>
      <c r="D146" s="208">
        <f t="shared" si="23"/>
        <v>5976491.2</v>
      </c>
      <c r="E146" s="215">
        <f t="shared" si="23"/>
        <v>5800014.4</v>
      </c>
      <c r="F146" s="460">
        <v>5802860.8</v>
      </c>
    </row>
    <row r="147" spans="1:6" ht="99.75" customHeight="1">
      <c r="A147" s="212" t="s">
        <v>1524</v>
      </c>
      <c r="B147" s="236" t="s">
        <v>1402</v>
      </c>
      <c r="C147" s="141">
        <v>5802860.8</v>
      </c>
      <c r="D147" s="141">
        <v>5976491.2</v>
      </c>
      <c r="E147" s="209">
        <v>5800014.4</v>
      </c>
      <c r="F147" s="460">
        <v>5802860.8</v>
      </c>
    </row>
    <row r="148" spans="1:6" ht="69.75" customHeight="1">
      <c r="A148" s="211" t="s">
        <v>1575</v>
      </c>
      <c r="B148" s="196" t="s">
        <v>1576</v>
      </c>
      <c r="C148" s="194">
        <f t="shared" si="23"/>
        <v>0</v>
      </c>
      <c r="D148" s="194">
        <f t="shared" si="23"/>
        <v>492482.4</v>
      </c>
      <c r="E148" s="210">
        <f t="shared" si="23"/>
        <v>0</v>
      </c>
      <c r="F148" s="460">
        <v>0</v>
      </c>
    </row>
    <row r="149" spans="1:6" ht="72.75" customHeight="1">
      <c r="A149" s="214" t="s">
        <v>1577</v>
      </c>
      <c r="B149" s="235" t="s">
        <v>1578</v>
      </c>
      <c r="C149" s="208">
        <f t="shared" si="23"/>
        <v>0</v>
      </c>
      <c r="D149" s="208">
        <f t="shared" si="23"/>
        <v>492482.4</v>
      </c>
      <c r="E149" s="215">
        <f t="shared" si="23"/>
        <v>0</v>
      </c>
      <c r="F149" s="460">
        <v>0</v>
      </c>
    </row>
    <row r="150" spans="1:6" ht="72" customHeight="1">
      <c r="A150" s="212" t="s">
        <v>1579</v>
      </c>
      <c r="B150" s="236" t="s">
        <v>1578</v>
      </c>
      <c r="C150" s="141">
        <v>0</v>
      </c>
      <c r="D150" s="141">
        <v>492482.4</v>
      </c>
      <c r="E150" s="209">
        <v>0</v>
      </c>
      <c r="F150" s="460">
        <v>0</v>
      </c>
    </row>
    <row r="151" spans="1:6" ht="34.5" customHeight="1">
      <c r="A151" s="211" t="s">
        <v>1589</v>
      </c>
      <c r="B151" s="196" t="s">
        <v>1590</v>
      </c>
      <c r="C151" s="194">
        <f aca="true" t="shared" si="24" ref="C151:E152">C152</f>
        <v>867465.56</v>
      </c>
      <c r="D151" s="194">
        <f t="shared" si="24"/>
        <v>0</v>
      </c>
      <c r="E151" s="210">
        <f t="shared" si="24"/>
        <v>0</v>
      </c>
      <c r="F151" s="460">
        <v>867465.56</v>
      </c>
    </row>
    <row r="152" spans="1:6" ht="52.5" customHeight="1">
      <c r="A152" s="495" t="s">
        <v>1591</v>
      </c>
      <c r="B152" s="496" t="s">
        <v>1592</v>
      </c>
      <c r="C152" s="491">
        <f t="shared" si="24"/>
        <v>867465.56</v>
      </c>
      <c r="D152" s="491">
        <f t="shared" si="24"/>
        <v>0</v>
      </c>
      <c r="E152" s="492">
        <f t="shared" si="24"/>
        <v>0</v>
      </c>
      <c r="F152" s="460">
        <v>867465.56</v>
      </c>
    </row>
    <row r="153" spans="1:6" ht="51.75" customHeight="1" thickBot="1">
      <c r="A153" s="213" t="s">
        <v>1593</v>
      </c>
      <c r="B153" s="497" t="s">
        <v>957</v>
      </c>
      <c r="C153" s="493">
        <v>867465.56</v>
      </c>
      <c r="D153" s="493"/>
      <c r="E153" s="494"/>
      <c r="F153" s="460">
        <v>867465.56</v>
      </c>
    </row>
    <row r="154" spans="1:6" ht="18" customHeight="1" thickBot="1">
      <c r="A154" s="289" t="s">
        <v>1024</v>
      </c>
      <c r="B154" s="383" t="s">
        <v>827</v>
      </c>
      <c r="C154" s="353">
        <f aca="true" t="shared" si="25" ref="C154:E155">C155</f>
        <v>53763.5</v>
      </c>
      <c r="D154" s="353">
        <f t="shared" si="25"/>
        <v>0</v>
      </c>
      <c r="E154" s="353">
        <f t="shared" si="25"/>
        <v>0</v>
      </c>
      <c r="F154" s="460">
        <v>53763.5</v>
      </c>
    </row>
    <row r="155" spans="1:6" ht="42" customHeight="1" thickBot="1">
      <c r="A155" s="276" t="s">
        <v>1025</v>
      </c>
      <c r="B155" s="384" t="s">
        <v>738</v>
      </c>
      <c r="C155" s="351">
        <f t="shared" si="25"/>
        <v>53763.5</v>
      </c>
      <c r="D155" s="351">
        <f t="shared" si="25"/>
        <v>0</v>
      </c>
      <c r="E155" s="351">
        <f t="shared" si="25"/>
        <v>0</v>
      </c>
      <c r="F155" s="460">
        <v>53763.5</v>
      </c>
    </row>
    <row r="156" spans="1:6" ht="39" customHeight="1" thickBot="1">
      <c r="A156" s="76" t="s">
        <v>1026</v>
      </c>
      <c r="B156" s="193" t="s">
        <v>738</v>
      </c>
      <c r="C156" s="380">
        <v>53763.5</v>
      </c>
      <c r="D156" s="350">
        <v>0</v>
      </c>
      <c r="E156" s="350">
        <v>0</v>
      </c>
      <c r="F156" s="460">
        <v>53763.5</v>
      </c>
    </row>
    <row r="157" spans="1:6" ht="24.75" customHeight="1" thickBot="1">
      <c r="A157" s="295" t="s">
        <v>1027</v>
      </c>
      <c r="B157" s="386" t="s">
        <v>828</v>
      </c>
      <c r="C157" s="372">
        <f>C158</f>
        <v>4954659.88</v>
      </c>
      <c r="D157" s="372">
        <f>D158</f>
        <v>457380</v>
      </c>
      <c r="E157" s="372">
        <f>E158</f>
        <v>457380</v>
      </c>
      <c r="F157" s="460">
        <v>5424449.130000001</v>
      </c>
    </row>
    <row r="158" spans="1:6" ht="24.75" customHeight="1" thickBot="1">
      <c r="A158" s="296" t="s">
        <v>1028</v>
      </c>
      <c r="B158" s="387" t="s">
        <v>176</v>
      </c>
      <c r="C158" s="365">
        <f>SUM(C159:C169)</f>
        <v>4954659.88</v>
      </c>
      <c r="D158" s="365">
        <f>SUM(D159:D169)</f>
        <v>457380</v>
      </c>
      <c r="E158" s="365">
        <f>SUM(E159:E169)</f>
        <v>457380</v>
      </c>
      <c r="F158" s="460">
        <v>5424449.130000001</v>
      </c>
    </row>
    <row r="159" spans="1:6" ht="81" customHeight="1" thickBot="1">
      <c r="A159" s="26" t="s">
        <v>1029</v>
      </c>
      <c r="B159" s="331" t="s">
        <v>202</v>
      </c>
      <c r="C159" s="350">
        <v>457380</v>
      </c>
      <c r="D159" s="350">
        <v>457380</v>
      </c>
      <c r="E159" s="350">
        <v>457380</v>
      </c>
      <c r="F159" s="460">
        <v>457380</v>
      </c>
    </row>
    <row r="160" spans="1:12" ht="100.5" customHeight="1" thickBot="1">
      <c r="A160" s="26" t="s">
        <v>1029</v>
      </c>
      <c r="B160" s="331" t="s">
        <v>281</v>
      </c>
      <c r="C160" s="380">
        <v>2716475</v>
      </c>
      <c r="D160" s="350">
        <v>0</v>
      </c>
      <c r="E160" s="350">
        <v>0</v>
      </c>
      <c r="F160" s="457">
        <v>2716475</v>
      </c>
      <c r="L160" s="455"/>
    </row>
    <row r="161" spans="1:6" ht="101.25" customHeight="1" thickBot="1">
      <c r="A161" s="26" t="s">
        <v>1029</v>
      </c>
      <c r="B161" s="331" t="s">
        <v>719</v>
      </c>
      <c r="C161" s="350">
        <v>0</v>
      </c>
      <c r="D161" s="350">
        <v>0</v>
      </c>
      <c r="E161" s="350">
        <v>0</v>
      </c>
      <c r="F161" s="460">
        <v>0</v>
      </c>
    </row>
    <row r="162" spans="1:6" ht="72" customHeight="1" thickBot="1">
      <c r="A162" s="26" t="s">
        <v>1029</v>
      </c>
      <c r="B162" s="331" t="s">
        <v>1433</v>
      </c>
      <c r="C162" s="350">
        <v>0</v>
      </c>
      <c r="D162" s="350">
        <v>0</v>
      </c>
      <c r="E162" s="350">
        <v>0</v>
      </c>
      <c r="F162" s="460">
        <v>0</v>
      </c>
    </row>
    <row r="163" spans="1:6" ht="69" customHeight="1" thickBot="1">
      <c r="A163" s="26" t="s">
        <v>1029</v>
      </c>
      <c r="B163" s="331" t="s">
        <v>727</v>
      </c>
      <c r="C163" s="350">
        <v>0</v>
      </c>
      <c r="D163" s="350">
        <v>0</v>
      </c>
      <c r="E163" s="350">
        <v>0</v>
      </c>
      <c r="F163" s="460">
        <v>0</v>
      </c>
    </row>
    <row r="164" spans="1:6" ht="65.25" customHeight="1" thickBot="1">
      <c r="A164" s="26" t="s">
        <v>1029</v>
      </c>
      <c r="B164" s="331" t="s">
        <v>1434</v>
      </c>
      <c r="C164" s="350">
        <v>0</v>
      </c>
      <c r="D164" s="350">
        <v>0</v>
      </c>
      <c r="E164" s="350">
        <v>0</v>
      </c>
      <c r="F164" s="460">
        <v>0</v>
      </c>
    </row>
    <row r="165" spans="1:6" ht="68.25" customHeight="1" thickBot="1">
      <c r="A165" s="26" t="s">
        <v>1029</v>
      </c>
      <c r="B165" s="331" t="s">
        <v>1526</v>
      </c>
      <c r="C165" s="350">
        <v>0</v>
      </c>
      <c r="D165" s="350">
        <v>0</v>
      </c>
      <c r="E165" s="350">
        <v>0</v>
      </c>
      <c r="F165" s="460">
        <v>469789.25</v>
      </c>
    </row>
    <row r="166" spans="1:6" ht="119.25" customHeight="1" thickBot="1">
      <c r="A166" s="26" t="s">
        <v>1029</v>
      </c>
      <c r="B166" s="331" t="s">
        <v>1480</v>
      </c>
      <c r="C166" s="350">
        <v>619181.65</v>
      </c>
      <c r="D166" s="350">
        <v>0</v>
      </c>
      <c r="E166" s="350">
        <v>0</v>
      </c>
      <c r="F166" s="460">
        <v>619181.65</v>
      </c>
    </row>
    <row r="167" spans="1:6" ht="119.25" customHeight="1" thickBot="1">
      <c r="A167" s="26" t="s">
        <v>1029</v>
      </c>
      <c r="B167" s="331" t="s">
        <v>1600</v>
      </c>
      <c r="C167" s="350">
        <v>1161623.23</v>
      </c>
      <c r="D167" s="350">
        <v>0</v>
      </c>
      <c r="E167" s="350">
        <v>0</v>
      </c>
      <c r="F167" s="460">
        <v>1161623.23</v>
      </c>
    </row>
    <row r="168" spans="1:6" ht="64.5" customHeight="1" thickBot="1">
      <c r="A168" s="26" t="s">
        <v>1029</v>
      </c>
      <c r="B168" s="331" t="s">
        <v>1435</v>
      </c>
      <c r="C168" s="373">
        <v>0</v>
      </c>
      <c r="D168" s="373">
        <v>0</v>
      </c>
      <c r="E168" s="373">
        <v>0</v>
      </c>
      <c r="F168" s="460">
        <v>0</v>
      </c>
    </row>
    <row r="169" spans="1:6" ht="67.5" customHeight="1" thickBot="1">
      <c r="A169" s="118" t="s">
        <v>1029</v>
      </c>
      <c r="B169" s="332" t="s">
        <v>1436</v>
      </c>
      <c r="C169" s="374">
        <v>0</v>
      </c>
      <c r="D169" s="374">
        <v>0</v>
      </c>
      <c r="E169" s="374">
        <v>0</v>
      </c>
      <c r="F169" s="460">
        <v>0</v>
      </c>
    </row>
    <row r="170" spans="1:6" ht="34.5" customHeight="1" thickBot="1">
      <c r="A170" s="507" t="s">
        <v>1030</v>
      </c>
      <c r="B170" s="508" t="s">
        <v>741</v>
      </c>
      <c r="C170" s="375">
        <f>C171+C181+C184+C190+C187</f>
        <v>134815643.83</v>
      </c>
      <c r="D170" s="375">
        <f>D171+D181+D184+D190+D187</f>
        <v>49689346.17</v>
      </c>
      <c r="E170" s="375">
        <f>E171+E181+E184+E190+E187</f>
        <v>49670706.38</v>
      </c>
      <c r="F170" s="460">
        <v>134818519.6</v>
      </c>
    </row>
    <row r="171" spans="1:6" ht="49.5" customHeight="1" thickBot="1">
      <c r="A171" s="295" t="s">
        <v>1031</v>
      </c>
      <c r="B171" s="321" t="s">
        <v>829</v>
      </c>
      <c r="C171" s="372">
        <f>C172</f>
        <v>1892233.66</v>
      </c>
      <c r="D171" s="372">
        <f>D172</f>
        <v>2039979.3</v>
      </c>
      <c r="E171" s="372">
        <f>E172</f>
        <v>2039979.3</v>
      </c>
      <c r="F171" s="460">
        <v>1892233.66</v>
      </c>
    </row>
    <row r="172" spans="1:6" ht="52.5" customHeight="1" thickBot="1">
      <c r="A172" s="296" t="s">
        <v>1032</v>
      </c>
      <c r="B172" s="309" t="s">
        <v>147</v>
      </c>
      <c r="C172" s="365">
        <f>SUM(C173:C180)</f>
        <v>1892233.66</v>
      </c>
      <c r="D172" s="365">
        <f>SUM(D173:D180)</f>
        <v>2039979.3</v>
      </c>
      <c r="E172" s="365">
        <f>SUM(E173:E180)</f>
        <v>2039979.3</v>
      </c>
      <c r="F172" s="460">
        <v>1892233.66</v>
      </c>
    </row>
    <row r="173" spans="1:6" ht="69.75" customHeight="1" thickBot="1">
      <c r="A173" s="297" t="s">
        <v>1033</v>
      </c>
      <c r="B173" s="333" t="s">
        <v>101</v>
      </c>
      <c r="C173" s="427">
        <f>443426.17+3713.13</f>
        <v>447139.3</v>
      </c>
      <c r="D173" s="427">
        <v>403258</v>
      </c>
      <c r="E173" s="427">
        <v>403258</v>
      </c>
      <c r="F173" s="460">
        <v>447139.3</v>
      </c>
    </row>
    <row r="174" spans="1:6" ht="79.5" thickBot="1">
      <c r="A174" s="297" t="s">
        <v>1033</v>
      </c>
      <c r="B174" s="333" t="s">
        <v>102</v>
      </c>
      <c r="C174" s="350">
        <v>10492</v>
      </c>
      <c r="D174" s="350">
        <v>10492</v>
      </c>
      <c r="E174" s="350">
        <v>10492</v>
      </c>
      <c r="F174" s="460">
        <v>10492</v>
      </c>
    </row>
    <row r="175" spans="1:6" ht="174" thickBot="1">
      <c r="A175" s="297" t="s">
        <v>1033</v>
      </c>
      <c r="B175" s="333" t="s">
        <v>1437</v>
      </c>
      <c r="C175" s="486">
        <v>372615</v>
      </c>
      <c r="D175" s="486">
        <v>298092</v>
      </c>
      <c r="E175" s="486">
        <v>298092</v>
      </c>
      <c r="F175" s="460">
        <v>372615</v>
      </c>
    </row>
    <row r="176" spans="1:6" ht="55.5" customHeight="1" thickBot="1">
      <c r="A176" s="297" t="s">
        <v>1033</v>
      </c>
      <c r="B176" s="333" t="s">
        <v>103</v>
      </c>
      <c r="C176" s="486">
        <v>771988.7</v>
      </c>
      <c r="D176" s="486">
        <v>1217512.8</v>
      </c>
      <c r="E176" s="486">
        <v>1217512.8</v>
      </c>
      <c r="F176" s="460">
        <v>771988.7</v>
      </c>
    </row>
    <row r="177" spans="1:6" ht="70.5" customHeight="1" thickBot="1">
      <c r="A177" s="297" t="s">
        <v>1033</v>
      </c>
      <c r="B177" s="333" t="s">
        <v>18</v>
      </c>
      <c r="C177" s="487">
        <v>37380</v>
      </c>
      <c r="D177" s="487">
        <v>37380</v>
      </c>
      <c r="E177" s="487">
        <v>37380</v>
      </c>
      <c r="F177" s="460">
        <v>37380</v>
      </c>
    </row>
    <row r="178" spans="1:6" ht="130.5" customHeight="1" thickBot="1">
      <c r="A178" s="297" t="s">
        <v>1033</v>
      </c>
      <c r="B178" s="334" t="s">
        <v>144</v>
      </c>
      <c r="C178" s="350">
        <v>140392</v>
      </c>
      <c r="D178" s="350">
        <v>0</v>
      </c>
      <c r="E178" s="350">
        <v>0</v>
      </c>
      <c r="F178" s="460">
        <v>140392</v>
      </c>
    </row>
    <row r="179" spans="1:6" ht="98.25" customHeight="1" thickBot="1">
      <c r="A179" s="298" t="s">
        <v>1033</v>
      </c>
      <c r="B179" s="237" t="s">
        <v>1353</v>
      </c>
      <c r="C179" s="350">
        <v>61406.66</v>
      </c>
      <c r="D179" s="350">
        <v>22424.5</v>
      </c>
      <c r="E179" s="350">
        <v>22424.5</v>
      </c>
      <c r="F179" s="460">
        <v>61406.66</v>
      </c>
    </row>
    <row r="180" spans="1:6" ht="82.5" customHeight="1" thickBot="1">
      <c r="A180" s="118" t="s">
        <v>1033</v>
      </c>
      <c r="B180" s="335" t="s">
        <v>1438</v>
      </c>
      <c r="C180" s="427">
        <v>50820</v>
      </c>
      <c r="D180" s="427">
        <v>50820</v>
      </c>
      <c r="E180" s="427">
        <v>50820</v>
      </c>
      <c r="F180" s="460">
        <v>50820</v>
      </c>
    </row>
    <row r="181" spans="1:6" ht="81.75" customHeight="1" thickBot="1">
      <c r="A181" s="289" t="s">
        <v>1034</v>
      </c>
      <c r="B181" s="336" t="s">
        <v>1051</v>
      </c>
      <c r="C181" s="353">
        <f aca="true" t="shared" si="26" ref="C181:E182">C182</f>
        <v>7360531.2</v>
      </c>
      <c r="D181" s="353">
        <f t="shared" si="26"/>
        <v>2760199.2</v>
      </c>
      <c r="E181" s="353">
        <f t="shared" si="26"/>
        <v>2760199.2</v>
      </c>
      <c r="F181" s="460">
        <v>7360531.2</v>
      </c>
    </row>
    <row r="182" spans="1:6" ht="82.5" customHeight="1" thickBot="1">
      <c r="A182" s="276" t="s">
        <v>1035</v>
      </c>
      <c r="B182" s="337" t="s">
        <v>960</v>
      </c>
      <c r="C182" s="351">
        <f t="shared" si="26"/>
        <v>7360531.2</v>
      </c>
      <c r="D182" s="351">
        <f t="shared" si="26"/>
        <v>2760199.2</v>
      </c>
      <c r="E182" s="351">
        <f t="shared" si="26"/>
        <v>2760199.2</v>
      </c>
      <c r="F182" s="460">
        <v>7360531.2</v>
      </c>
    </row>
    <row r="183" spans="1:8" ht="84" customHeight="1" thickBot="1">
      <c r="A183" s="299" t="s">
        <v>1036</v>
      </c>
      <c r="B183" s="335" t="s">
        <v>960</v>
      </c>
      <c r="C183" s="485">
        <v>7360531.2</v>
      </c>
      <c r="D183" s="380">
        <v>2760199.2</v>
      </c>
      <c r="E183" s="485">
        <v>2760199.2</v>
      </c>
      <c r="F183" s="459">
        <v>7360531.2</v>
      </c>
      <c r="H183" s="459"/>
    </row>
    <row r="184" spans="1:6" ht="69.75" customHeight="1" thickBot="1">
      <c r="A184" s="289" t="s">
        <v>1037</v>
      </c>
      <c r="B184" s="338" t="s">
        <v>830</v>
      </c>
      <c r="C184" s="353">
        <f aca="true" t="shared" si="27" ref="C184:E188">C185</f>
        <v>3481.97</v>
      </c>
      <c r="D184" s="353">
        <f t="shared" si="27"/>
        <v>21273.67</v>
      </c>
      <c r="E184" s="353">
        <f t="shared" si="27"/>
        <v>2633.88</v>
      </c>
      <c r="F184" s="460">
        <v>6357.74</v>
      </c>
    </row>
    <row r="185" spans="1:6" ht="79.5" thickBot="1">
      <c r="A185" s="276" t="s">
        <v>1038</v>
      </c>
      <c r="B185" s="339" t="s">
        <v>713</v>
      </c>
      <c r="C185" s="351">
        <f t="shared" si="27"/>
        <v>3481.97</v>
      </c>
      <c r="D185" s="351">
        <f t="shared" si="27"/>
        <v>21273.67</v>
      </c>
      <c r="E185" s="351">
        <f t="shared" si="27"/>
        <v>2633.88</v>
      </c>
      <c r="F185" s="460">
        <v>6357.74</v>
      </c>
    </row>
    <row r="186" spans="1:8" ht="85.5" customHeight="1" thickBot="1">
      <c r="A186" s="511" t="s">
        <v>1039</v>
      </c>
      <c r="B186" s="512" t="s">
        <v>713</v>
      </c>
      <c r="C186" s="485">
        <v>3481.97</v>
      </c>
      <c r="D186" s="485">
        <v>21273.67</v>
      </c>
      <c r="E186" s="485">
        <v>2633.88</v>
      </c>
      <c r="F186" s="459">
        <v>6357.74</v>
      </c>
      <c r="G186" s="459"/>
      <c r="H186" s="459"/>
    </row>
    <row r="187" spans="1:8" ht="40.5" customHeight="1" thickBot="1">
      <c r="A187" s="289" t="s">
        <v>1528</v>
      </c>
      <c r="B187" s="338" t="s">
        <v>1529</v>
      </c>
      <c r="C187" s="353">
        <f t="shared" si="27"/>
        <v>310167</v>
      </c>
      <c r="D187" s="353">
        <f t="shared" si="27"/>
        <v>0</v>
      </c>
      <c r="E187" s="353">
        <f t="shared" si="27"/>
        <v>0</v>
      </c>
      <c r="F187" s="458">
        <v>310167</v>
      </c>
      <c r="G187" s="458"/>
      <c r="H187" s="459"/>
    </row>
    <row r="188" spans="1:8" ht="55.5" customHeight="1" thickBot="1">
      <c r="A188" s="276" t="s">
        <v>1527</v>
      </c>
      <c r="B188" s="339" t="s">
        <v>1530</v>
      </c>
      <c r="C188" s="351">
        <f t="shared" si="27"/>
        <v>310167</v>
      </c>
      <c r="D188" s="351">
        <f t="shared" si="27"/>
        <v>0</v>
      </c>
      <c r="E188" s="351">
        <f t="shared" si="27"/>
        <v>0</v>
      </c>
      <c r="F188" s="458">
        <v>310167</v>
      </c>
      <c r="G188" s="458"/>
      <c r="H188" s="459"/>
    </row>
    <row r="189" spans="1:8" ht="63.75" customHeight="1" thickBot="1">
      <c r="A189" s="76" t="s">
        <v>1531</v>
      </c>
      <c r="B189" s="385" t="s">
        <v>1530</v>
      </c>
      <c r="C189" s="350">
        <v>310167</v>
      </c>
      <c r="D189" s="350">
        <v>0</v>
      </c>
      <c r="E189" s="350">
        <v>0</v>
      </c>
      <c r="F189" s="458">
        <v>310167</v>
      </c>
      <c r="G189" s="458"/>
      <c r="H189" s="459"/>
    </row>
    <row r="190" spans="1:6" ht="16.5" customHeight="1" thickBot="1">
      <c r="A190" s="465" t="s">
        <v>1040</v>
      </c>
      <c r="B190" s="466" t="s">
        <v>831</v>
      </c>
      <c r="C190" s="467">
        <f>C191</f>
        <v>125249230</v>
      </c>
      <c r="D190" s="467">
        <f>D191</f>
        <v>44867894</v>
      </c>
      <c r="E190" s="467">
        <f>E191</f>
        <v>44867894</v>
      </c>
      <c r="F190" s="460">
        <v>125249230</v>
      </c>
    </row>
    <row r="191" spans="1:6" ht="21" customHeight="1" thickBot="1">
      <c r="A191" s="285" t="s">
        <v>1041</v>
      </c>
      <c r="B191" s="316" t="s">
        <v>259</v>
      </c>
      <c r="C191" s="359">
        <f>SUM(C192:C194)</f>
        <v>125249230</v>
      </c>
      <c r="D191" s="359">
        <f>SUM(D192:D194)</f>
        <v>44867894</v>
      </c>
      <c r="E191" s="359">
        <f>SUM(E192:E194)</f>
        <v>44867894</v>
      </c>
      <c r="F191" s="460">
        <v>125249230</v>
      </c>
    </row>
    <row r="192" spans="1:6" ht="164.25" customHeight="1" thickBot="1">
      <c r="A192" s="297" t="s">
        <v>1042</v>
      </c>
      <c r="B192" s="333" t="s">
        <v>1439</v>
      </c>
      <c r="C192" s="464">
        <v>40520912</v>
      </c>
      <c r="D192" s="464">
        <v>44867894</v>
      </c>
      <c r="E192" s="464">
        <v>44867894</v>
      </c>
      <c r="F192" s="460">
        <v>40520912</v>
      </c>
    </row>
    <row r="193" spans="1:6" ht="209.25" customHeight="1" thickBot="1">
      <c r="A193" s="297" t="s">
        <v>1042</v>
      </c>
      <c r="B193" s="333" t="s">
        <v>1440</v>
      </c>
      <c r="C193" s="350">
        <v>79121658</v>
      </c>
      <c r="D193" s="350">
        <v>0</v>
      </c>
      <c r="E193" s="350">
        <v>0</v>
      </c>
      <c r="F193" s="460">
        <v>79121658</v>
      </c>
    </row>
    <row r="194" spans="1:6" ht="194.25" customHeight="1" thickBot="1">
      <c r="A194" s="298" t="s">
        <v>1042</v>
      </c>
      <c r="B194" s="334" t="s">
        <v>1441</v>
      </c>
      <c r="C194" s="427">
        <v>5606660</v>
      </c>
      <c r="D194" s="427">
        <v>0</v>
      </c>
      <c r="E194" s="427">
        <v>0</v>
      </c>
      <c r="F194" s="460">
        <v>5606660</v>
      </c>
    </row>
    <row r="195" spans="1:6" ht="20.25" customHeight="1" thickBot="1">
      <c r="A195" s="300" t="s">
        <v>1043</v>
      </c>
      <c r="B195" s="340" t="s">
        <v>216</v>
      </c>
      <c r="C195" s="376">
        <f>C196+C199</f>
        <v>6319284.75</v>
      </c>
      <c r="D195" s="376">
        <f>D196+D199</f>
        <v>6319284.75</v>
      </c>
      <c r="E195" s="376">
        <f>E196+E199</f>
        <v>6319284.75</v>
      </c>
      <c r="F195" s="460">
        <v>6319284.75</v>
      </c>
    </row>
    <row r="196" spans="1:6" ht="68.25" customHeight="1" thickBot="1">
      <c r="A196" s="289" t="s">
        <v>1442</v>
      </c>
      <c r="B196" s="341" t="s">
        <v>1205</v>
      </c>
      <c r="C196" s="353">
        <f aca="true" t="shared" si="28" ref="C196:E197">C197</f>
        <v>69684.75</v>
      </c>
      <c r="D196" s="353">
        <f t="shared" si="28"/>
        <v>69684.75</v>
      </c>
      <c r="E196" s="353">
        <f t="shared" si="28"/>
        <v>69684.75</v>
      </c>
      <c r="F196" s="460">
        <v>69684.75</v>
      </c>
    </row>
    <row r="197" spans="1:6" ht="83.25" customHeight="1" thickBot="1">
      <c r="A197" s="276" t="s">
        <v>1206</v>
      </c>
      <c r="B197" s="342" t="s">
        <v>1183</v>
      </c>
      <c r="C197" s="351">
        <f t="shared" si="28"/>
        <v>69684.75</v>
      </c>
      <c r="D197" s="351">
        <f t="shared" si="28"/>
        <v>69684.75</v>
      </c>
      <c r="E197" s="351">
        <f t="shared" si="28"/>
        <v>69684.75</v>
      </c>
      <c r="F197" s="460">
        <v>69684.75</v>
      </c>
    </row>
    <row r="198" spans="1:6" ht="84.75" customHeight="1" thickBot="1">
      <c r="A198" s="242" t="s">
        <v>1181</v>
      </c>
      <c r="B198" s="498" t="s">
        <v>1183</v>
      </c>
      <c r="C198" s="380">
        <v>69684.75</v>
      </c>
      <c r="D198" s="380">
        <v>69684.75</v>
      </c>
      <c r="E198" s="380">
        <v>69684.75</v>
      </c>
      <c r="F198" s="460">
        <v>69684.75</v>
      </c>
    </row>
    <row r="199" spans="1:6" ht="72.75" customHeight="1" thickBot="1">
      <c r="A199" s="388" t="s">
        <v>1379</v>
      </c>
      <c r="B199" s="389" t="s">
        <v>1380</v>
      </c>
      <c r="C199" s="390">
        <f aca="true" t="shared" si="29" ref="C199:E200">C200</f>
        <v>6249600</v>
      </c>
      <c r="D199" s="390">
        <f t="shared" si="29"/>
        <v>6249600</v>
      </c>
      <c r="E199" s="390">
        <f t="shared" si="29"/>
        <v>6249600</v>
      </c>
      <c r="F199" s="460">
        <v>6249600</v>
      </c>
    </row>
    <row r="200" spans="1:6" ht="91.5" customHeight="1" thickBot="1">
      <c r="A200" s="392" t="s">
        <v>1378</v>
      </c>
      <c r="B200" s="391" t="s">
        <v>1376</v>
      </c>
      <c r="C200" s="394">
        <f t="shared" si="29"/>
        <v>6249600</v>
      </c>
      <c r="D200" s="395">
        <f t="shared" si="29"/>
        <v>6249600</v>
      </c>
      <c r="E200" s="395">
        <f t="shared" si="29"/>
        <v>6249600</v>
      </c>
      <c r="F200" s="460">
        <v>6249600</v>
      </c>
    </row>
    <row r="201" spans="1:6" ht="88.5" customHeight="1" thickBot="1">
      <c r="A201" s="242" t="s">
        <v>1377</v>
      </c>
      <c r="B201" s="393" t="s">
        <v>1376</v>
      </c>
      <c r="C201" s="380">
        <v>6249600</v>
      </c>
      <c r="D201" s="488">
        <v>6249600</v>
      </c>
      <c r="E201" s="488">
        <v>6249600</v>
      </c>
      <c r="F201" s="460">
        <v>6249600</v>
      </c>
    </row>
    <row r="202" spans="1:7" ht="71.25" customHeight="1" thickBot="1">
      <c r="A202" s="301" t="s">
        <v>832</v>
      </c>
      <c r="B202" s="343" t="s">
        <v>833</v>
      </c>
      <c r="C202" s="377">
        <f>C203</f>
        <v>-460748</v>
      </c>
      <c r="D202" s="377">
        <f>D203</f>
        <v>0</v>
      </c>
      <c r="E202" s="377">
        <f>E203</f>
        <v>0</v>
      </c>
      <c r="F202" s="462">
        <v>-460748</v>
      </c>
      <c r="G202" s="462"/>
    </row>
    <row r="203" spans="1:7" ht="65.25" customHeight="1" thickBot="1">
      <c r="A203" s="289" t="s">
        <v>1044</v>
      </c>
      <c r="B203" s="341" t="s">
        <v>174</v>
      </c>
      <c r="C203" s="353">
        <f>C204</f>
        <v>-460748</v>
      </c>
      <c r="D203" s="353">
        <f aca="true" t="shared" si="30" ref="C203:E204">D204</f>
        <v>0</v>
      </c>
      <c r="E203" s="353">
        <f t="shared" si="30"/>
        <v>0</v>
      </c>
      <c r="F203" s="462">
        <v>-460748</v>
      </c>
      <c r="G203" s="462"/>
    </row>
    <row r="204" spans="1:7" ht="67.5" customHeight="1" thickBot="1">
      <c r="A204" s="276" t="s">
        <v>1045</v>
      </c>
      <c r="B204" s="342" t="s">
        <v>717</v>
      </c>
      <c r="C204" s="351">
        <f t="shared" si="30"/>
        <v>-460748</v>
      </c>
      <c r="D204" s="351">
        <f t="shared" si="30"/>
        <v>0</v>
      </c>
      <c r="E204" s="351">
        <f t="shared" si="30"/>
        <v>0</v>
      </c>
      <c r="F204" s="462">
        <v>-460748</v>
      </c>
      <c r="G204" s="462"/>
    </row>
    <row r="205" spans="1:7" ht="69.75" customHeight="1" thickBot="1">
      <c r="A205" s="242" t="s">
        <v>1046</v>
      </c>
      <c r="B205" s="463" t="s">
        <v>717</v>
      </c>
      <c r="C205" s="464">
        <v>-460748</v>
      </c>
      <c r="D205" s="378">
        <v>0</v>
      </c>
      <c r="E205" s="378">
        <v>0</v>
      </c>
      <c r="F205" s="462">
        <v>-460748</v>
      </c>
      <c r="G205" s="462"/>
    </row>
    <row r="206" spans="1:6" ht="18.75" customHeight="1" thickBot="1">
      <c r="A206" s="302"/>
      <c r="B206" s="345" t="s">
        <v>108</v>
      </c>
      <c r="C206" s="379">
        <f>C120+C11</f>
        <v>356516420.84000003</v>
      </c>
      <c r="D206" s="379">
        <f>D120+D11</f>
        <v>243970101.45</v>
      </c>
      <c r="E206" s="379">
        <f>E120+E11</f>
        <v>242309598.88</v>
      </c>
      <c r="F206" s="460">
        <v>356989085.86</v>
      </c>
    </row>
    <row r="207" spans="2:5" ht="24" customHeight="1">
      <c r="B207" s="428"/>
      <c r="C207" s="449"/>
      <c r="D207" s="449"/>
      <c r="E207" s="449"/>
    </row>
    <row r="208" ht="28.5" customHeight="1">
      <c r="B208" s="428"/>
    </row>
    <row r="209" ht="12.75">
      <c r="B209" s="428"/>
    </row>
    <row r="210" spans="2:3" ht="67.5" customHeight="1">
      <c r="B210" s="428"/>
      <c r="C210" s="455"/>
    </row>
    <row r="211" ht="83.25" customHeight="1">
      <c r="B211" s="428"/>
    </row>
    <row r="212" ht="23.25" customHeight="1">
      <c r="B212" s="428"/>
    </row>
    <row r="213" ht="65.25" customHeight="1">
      <c r="B213" s="428"/>
    </row>
    <row r="214" ht="81.75" customHeight="1">
      <c r="B214" s="428"/>
    </row>
    <row r="215" ht="78.75" customHeight="1"/>
    <row r="216" ht="70.5" customHeight="1"/>
    <row r="217" ht="79.5" customHeight="1"/>
    <row r="218" ht="85.5" customHeight="1"/>
    <row r="219" ht="33.75" customHeight="1"/>
    <row r="220" ht="55.5" customHeight="1"/>
    <row r="221" ht="51.75" customHeight="1"/>
    <row r="222" ht="45" customHeight="1"/>
    <row r="223" spans="1:8" s="244" customFormat="1" ht="81" customHeight="1">
      <c r="A223" s="139"/>
      <c r="B223" s="139"/>
      <c r="C223" s="139"/>
      <c r="D223" s="139"/>
      <c r="E223" s="139"/>
      <c r="F223" s="461"/>
      <c r="G223" s="461"/>
      <c r="H223" s="461"/>
    </row>
    <row r="224" ht="96.75" customHeight="1"/>
    <row r="225" ht="81" customHeight="1"/>
    <row r="226" ht="72" customHeight="1"/>
    <row r="227" ht="61.5" customHeight="1"/>
    <row r="228" ht="46.5" customHeight="1"/>
    <row r="229" ht="52.5" customHeight="1"/>
    <row r="230" ht="46.5" customHeight="1"/>
    <row r="231" ht="81.75" customHeight="1"/>
    <row r="232" ht="74.25" customHeight="1"/>
    <row r="235" ht="21" customHeight="1"/>
  </sheetData>
  <sheetProtection/>
  <mergeCells count="9">
    <mergeCell ref="A8:A9"/>
    <mergeCell ref="B8:B9"/>
    <mergeCell ref="C8:E8"/>
    <mergeCell ref="C1:E1"/>
    <mergeCell ref="C3:E3"/>
    <mergeCell ref="A6:E6"/>
    <mergeCell ref="C2:E2"/>
    <mergeCell ref="A4:C4"/>
    <mergeCell ref="A5:E5"/>
  </mergeCells>
  <printOptions/>
  <pageMargins left="0.54" right="0.46" top="0.38" bottom="0.42" header="0.23" footer="0.27"/>
  <pageSetup fitToHeight="0"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E108"/>
  <sheetViews>
    <sheetView view="pageBreakPreview" zoomScale="90" zoomScaleSheetLayoutView="90" zoomScalePageLayoutView="0" workbookViewId="0" topLeftCell="A85">
      <selection activeCell="C8" sqref="C8:C9"/>
    </sheetView>
  </sheetViews>
  <sheetFormatPr defaultColWidth="9.140625" defaultRowHeight="12.75"/>
  <cols>
    <col min="1" max="1" width="8.7109375" style="144" customWidth="1"/>
    <col min="2" max="2" width="27.28125" style="144" customWidth="1"/>
    <col min="3" max="3" width="69.8515625" style="104" customWidth="1"/>
    <col min="4" max="16384" width="9.140625" style="104" customWidth="1"/>
  </cols>
  <sheetData>
    <row r="1" spans="1:3" ht="15.75">
      <c r="A1" s="201"/>
      <c r="B1" s="201"/>
      <c r="C1" s="35" t="s">
        <v>71</v>
      </c>
    </row>
    <row r="2" spans="1:3" ht="15.75">
      <c r="A2" s="528" t="s">
        <v>109</v>
      </c>
      <c r="B2" s="528"/>
      <c r="C2" s="528"/>
    </row>
    <row r="3" spans="1:3" ht="15.75">
      <c r="A3" s="201"/>
      <c r="B3" s="528" t="s">
        <v>1519</v>
      </c>
      <c r="C3" s="528"/>
    </row>
    <row r="4" ht="12.75">
      <c r="B4" s="202"/>
    </row>
    <row r="5" spans="1:3" ht="30.75" customHeight="1">
      <c r="A5" s="529" t="s">
        <v>1553</v>
      </c>
      <c r="B5" s="529"/>
      <c r="C5" s="529"/>
    </row>
    <row r="6" spans="1:5" ht="15.75">
      <c r="A6" s="513"/>
      <c r="B6" s="513"/>
      <c r="C6" s="513"/>
      <c r="D6" s="31"/>
      <c r="E6" s="31"/>
    </row>
    <row r="7" spans="1:3" ht="16.5" thickBot="1">
      <c r="A7" s="133"/>
      <c r="B7" s="133"/>
      <c r="C7" s="3"/>
    </row>
    <row r="8" spans="1:3" ht="16.5" thickBot="1">
      <c r="A8" s="530" t="s">
        <v>72</v>
      </c>
      <c r="B8" s="530"/>
      <c r="C8" s="530" t="s">
        <v>73</v>
      </c>
    </row>
    <row r="9" spans="1:3" ht="51.75" thickBot="1">
      <c r="A9" s="136" t="s">
        <v>74</v>
      </c>
      <c r="B9" s="127" t="s">
        <v>75</v>
      </c>
      <c r="C9" s="530"/>
    </row>
    <row r="10" spans="1:3" ht="16.5" thickBot="1">
      <c r="A10" s="127">
        <v>1</v>
      </c>
      <c r="B10" s="127">
        <v>2</v>
      </c>
      <c r="C10" s="65">
        <v>3</v>
      </c>
    </row>
    <row r="11" spans="1:3" ht="16.5" thickBot="1">
      <c r="A11" s="199" t="s">
        <v>1306</v>
      </c>
      <c r="B11" s="527" t="s">
        <v>1305</v>
      </c>
      <c r="C11" s="527"/>
    </row>
    <row r="12" spans="1:3" ht="79.5" thickBot="1">
      <c r="A12" s="138" t="s">
        <v>1306</v>
      </c>
      <c r="B12" s="135" t="s">
        <v>1275</v>
      </c>
      <c r="C12" s="155" t="s">
        <v>1188</v>
      </c>
    </row>
    <row r="13" spans="1:3" ht="95.25" thickBot="1">
      <c r="A13" s="138" t="s">
        <v>1306</v>
      </c>
      <c r="B13" s="135" t="s">
        <v>1276</v>
      </c>
      <c r="C13" s="155" t="s">
        <v>1191</v>
      </c>
    </row>
    <row r="14" spans="1:3" ht="79.5" thickBot="1">
      <c r="A14" s="138" t="s">
        <v>1306</v>
      </c>
      <c r="B14" s="135" t="s">
        <v>1277</v>
      </c>
      <c r="C14" s="198" t="s">
        <v>1195</v>
      </c>
    </row>
    <row r="15" spans="1:3" ht="83.25" customHeight="1" thickBot="1">
      <c r="A15" s="138" t="s">
        <v>1306</v>
      </c>
      <c r="B15" s="135" t="s">
        <v>1278</v>
      </c>
      <c r="C15" s="59" t="s">
        <v>1203</v>
      </c>
    </row>
    <row r="16" spans="1:3" ht="16.5" thickBot="1">
      <c r="A16" s="137" t="s">
        <v>110</v>
      </c>
      <c r="B16" s="530" t="s">
        <v>111</v>
      </c>
      <c r="C16" s="530"/>
    </row>
    <row r="17" spans="1:3" ht="32.25" thickBot="1">
      <c r="A17" s="132" t="s">
        <v>110</v>
      </c>
      <c r="B17" s="134" t="s">
        <v>76</v>
      </c>
      <c r="C17" s="11" t="s">
        <v>148</v>
      </c>
    </row>
    <row r="18" spans="1:3" ht="32.25" thickBot="1">
      <c r="A18" s="132" t="s">
        <v>110</v>
      </c>
      <c r="B18" s="134" t="s">
        <v>77</v>
      </c>
      <c r="C18" s="11" t="s">
        <v>178</v>
      </c>
    </row>
    <row r="19" spans="1:3" ht="48" thickBot="1">
      <c r="A19" s="132" t="s">
        <v>110</v>
      </c>
      <c r="B19" s="134" t="s">
        <v>78</v>
      </c>
      <c r="C19" s="11" t="s">
        <v>54</v>
      </c>
    </row>
    <row r="20" spans="1:3" ht="32.25" thickBot="1">
      <c r="A20" s="132" t="s">
        <v>110</v>
      </c>
      <c r="B20" s="134" t="s">
        <v>79</v>
      </c>
      <c r="C20" s="11" t="s">
        <v>16</v>
      </c>
    </row>
    <row r="21" spans="1:3" ht="16.5" thickBot="1">
      <c r="A21" s="132" t="s">
        <v>110</v>
      </c>
      <c r="B21" s="134" t="s">
        <v>80</v>
      </c>
      <c r="C21" s="11" t="s">
        <v>49</v>
      </c>
    </row>
    <row r="22" spans="1:3" ht="95.25" thickBot="1">
      <c r="A22" s="138" t="s">
        <v>110</v>
      </c>
      <c r="B22" s="135" t="s">
        <v>1110</v>
      </c>
      <c r="C22" s="126" t="s">
        <v>217</v>
      </c>
    </row>
    <row r="23" spans="1:3" ht="34.5" customHeight="1" thickBot="1">
      <c r="A23" s="132" t="s">
        <v>110</v>
      </c>
      <c r="B23" s="134" t="s">
        <v>1052</v>
      </c>
      <c r="C23" s="11" t="s">
        <v>1488</v>
      </c>
    </row>
    <row r="24" spans="1:3" ht="32.25" thickBot="1">
      <c r="A24" s="132" t="s">
        <v>110</v>
      </c>
      <c r="B24" s="134" t="s">
        <v>1053</v>
      </c>
      <c r="C24" s="11" t="s">
        <v>167</v>
      </c>
    </row>
    <row r="25" spans="1:3" ht="16.5" thickBot="1">
      <c r="A25" s="132" t="s">
        <v>110</v>
      </c>
      <c r="B25" s="134" t="s">
        <v>1054</v>
      </c>
      <c r="C25" s="11" t="s">
        <v>27</v>
      </c>
    </row>
    <row r="26" spans="1:3" ht="32.25" customHeight="1" thickBot="1">
      <c r="A26" s="132" t="s">
        <v>110</v>
      </c>
      <c r="B26" s="134" t="s">
        <v>1055</v>
      </c>
      <c r="C26" s="106" t="s">
        <v>957</v>
      </c>
    </row>
    <row r="27" spans="1:3" ht="50.25" customHeight="1" thickBot="1">
      <c r="A27" s="132" t="s">
        <v>110</v>
      </c>
      <c r="B27" s="242" t="s">
        <v>1444</v>
      </c>
      <c r="C27" s="197" t="s">
        <v>1340</v>
      </c>
    </row>
    <row r="28" spans="1:3" ht="63.75" thickBot="1">
      <c r="A28" s="132" t="s">
        <v>110</v>
      </c>
      <c r="B28" s="242" t="s">
        <v>1406</v>
      </c>
      <c r="C28" s="396" t="s">
        <v>1402</v>
      </c>
    </row>
    <row r="29" spans="1:3" ht="111.75" customHeight="1" thickBot="1">
      <c r="A29" s="132" t="s">
        <v>110</v>
      </c>
      <c r="B29" s="242" t="s">
        <v>1345</v>
      </c>
      <c r="C29" s="197" t="s">
        <v>1314</v>
      </c>
    </row>
    <row r="30" spans="1:3" ht="82.5" customHeight="1" thickBot="1">
      <c r="A30" s="132" t="s">
        <v>110</v>
      </c>
      <c r="B30" s="242" t="s">
        <v>1057</v>
      </c>
      <c r="C30" s="397" t="s">
        <v>288</v>
      </c>
    </row>
    <row r="31" spans="1:3" ht="32.25" thickBot="1">
      <c r="A31" s="132" t="s">
        <v>110</v>
      </c>
      <c r="B31" s="242" t="s">
        <v>1058</v>
      </c>
      <c r="C31" s="397" t="s">
        <v>738</v>
      </c>
    </row>
    <row r="32" spans="1:3" ht="63.75" thickBot="1">
      <c r="A32" s="132" t="s">
        <v>110</v>
      </c>
      <c r="B32" s="242" t="s">
        <v>1160</v>
      </c>
      <c r="C32" s="142" t="s">
        <v>1159</v>
      </c>
    </row>
    <row r="33" spans="1:3" ht="32.25" customHeight="1" thickBot="1">
      <c r="A33" s="132" t="s">
        <v>110</v>
      </c>
      <c r="B33" s="213" t="s">
        <v>1174</v>
      </c>
      <c r="C33" s="398" t="s">
        <v>1352</v>
      </c>
    </row>
    <row r="34" spans="1:3" ht="50.25" customHeight="1" thickBot="1">
      <c r="A34" s="132" t="s">
        <v>110</v>
      </c>
      <c r="B34" s="213" t="s">
        <v>1056</v>
      </c>
      <c r="C34" s="399" t="s">
        <v>1489</v>
      </c>
    </row>
    <row r="35" spans="1:3" ht="33" customHeight="1" thickBot="1">
      <c r="A35" s="132" t="s">
        <v>110</v>
      </c>
      <c r="B35" s="213" t="s">
        <v>1355</v>
      </c>
      <c r="C35" s="197" t="s">
        <v>1356</v>
      </c>
    </row>
    <row r="36" spans="1:3" ht="132" customHeight="1" thickBot="1">
      <c r="A36" s="132" t="s">
        <v>110</v>
      </c>
      <c r="B36" s="242" t="s">
        <v>1344</v>
      </c>
      <c r="C36" s="197" t="s">
        <v>1315</v>
      </c>
    </row>
    <row r="37" spans="1:3" ht="48" thickBot="1">
      <c r="A37" s="132" t="s">
        <v>110</v>
      </c>
      <c r="B37" s="242" t="s">
        <v>1174</v>
      </c>
      <c r="C37" s="142" t="s">
        <v>1173</v>
      </c>
    </row>
    <row r="38" spans="1:3" ht="16.5" thickBot="1">
      <c r="A38" s="132" t="s">
        <v>110</v>
      </c>
      <c r="B38" s="135" t="s">
        <v>1059</v>
      </c>
      <c r="C38" s="126" t="s">
        <v>176</v>
      </c>
    </row>
    <row r="39" spans="1:3" ht="31.5" customHeight="1" thickBot="1">
      <c r="A39" s="132" t="s">
        <v>110</v>
      </c>
      <c r="B39" s="135" t="s">
        <v>1060</v>
      </c>
      <c r="C39" s="126" t="s">
        <v>147</v>
      </c>
    </row>
    <row r="40" spans="1:3" ht="63.75" thickBot="1">
      <c r="A40" s="132" t="s">
        <v>110</v>
      </c>
      <c r="B40" s="135" t="s">
        <v>1061</v>
      </c>
      <c r="C40" s="126" t="s">
        <v>960</v>
      </c>
    </row>
    <row r="41" spans="1:3" ht="63.75" thickBot="1">
      <c r="A41" s="132" t="s">
        <v>110</v>
      </c>
      <c r="B41" s="241" t="s">
        <v>1062</v>
      </c>
      <c r="C41" s="400" t="s">
        <v>713</v>
      </c>
    </row>
    <row r="42" spans="1:3" ht="16.5" thickBot="1">
      <c r="A42" s="132" t="s">
        <v>110</v>
      </c>
      <c r="B42" s="135" t="s">
        <v>1063</v>
      </c>
      <c r="C42" s="126" t="s">
        <v>259</v>
      </c>
    </row>
    <row r="43" spans="1:3" ht="32.25" thickBot="1">
      <c r="A43" s="132" t="s">
        <v>110</v>
      </c>
      <c r="B43" s="135" t="s">
        <v>1064</v>
      </c>
      <c r="C43" s="126" t="s">
        <v>260</v>
      </c>
    </row>
    <row r="44" spans="1:3" ht="32.25" thickBot="1">
      <c r="A44" s="132" t="s">
        <v>110</v>
      </c>
      <c r="B44" s="135" t="s">
        <v>1065</v>
      </c>
      <c r="C44" s="126" t="s">
        <v>25</v>
      </c>
    </row>
    <row r="45" spans="1:3" ht="48" customHeight="1" thickBot="1">
      <c r="A45" s="132" t="s">
        <v>110</v>
      </c>
      <c r="B45" s="135" t="s">
        <v>1066</v>
      </c>
      <c r="C45" s="401" t="s">
        <v>308</v>
      </c>
    </row>
    <row r="46" spans="1:3" ht="64.5" customHeight="1" thickBot="1">
      <c r="A46" s="132" t="s">
        <v>110</v>
      </c>
      <c r="B46" s="135" t="s">
        <v>1381</v>
      </c>
      <c r="C46" s="238" t="s">
        <v>1376</v>
      </c>
    </row>
    <row r="47" spans="1:3" ht="32.25" thickBot="1">
      <c r="A47" s="132" t="s">
        <v>110</v>
      </c>
      <c r="B47" s="135" t="s">
        <v>1067</v>
      </c>
      <c r="C47" s="126" t="s">
        <v>315</v>
      </c>
    </row>
    <row r="48" spans="1:3" ht="63.75" thickBot="1">
      <c r="A48" s="132" t="s">
        <v>110</v>
      </c>
      <c r="B48" s="135" t="s">
        <v>1182</v>
      </c>
      <c r="C48" s="126" t="s">
        <v>1183</v>
      </c>
    </row>
    <row r="49" spans="1:3" ht="48" thickBot="1">
      <c r="A49" s="132" t="s">
        <v>110</v>
      </c>
      <c r="B49" s="242" t="s">
        <v>1068</v>
      </c>
      <c r="C49" s="344" t="s">
        <v>717</v>
      </c>
    </row>
    <row r="50" spans="1:3" ht="39" customHeight="1" thickBot="1">
      <c r="A50" s="137" t="s">
        <v>143</v>
      </c>
      <c r="B50" s="531" t="s">
        <v>1484</v>
      </c>
      <c r="C50" s="531"/>
    </row>
    <row r="51" spans="1:3" ht="32.25" thickBot="1">
      <c r="A51" s="132" t="s">
        <v>143</v>
      </c>
      <c r="B51" s="242" t="s">
        <v>573</v>
      </c>
      <c r="C51" s="142" t="s">
        <v>162</v>
      </c>
    </row>
    <row r="52" spans="1:3" ht="32.25" thickBot="1">
      <c r="A52" s="132" t="s">
        <v>143</v>
      </c>
      <c r="B52" s="242" t="s">
        <v>574</v>
      </c>
      <c r="C52" s="142" t="s">
        <v>172</v>
      </c>
    </row>
    <row r="53" spans="1:3" ht="16.5" thickBot="1">
      <c r="A53" s="132" t="s">
        <v>143</v>
      </c>
      <c r="B53" s="242" t="s">
        <v>575</v>
      </c>
      <c r="C53" s="142" t="s">
        <v>112</v>
      </c>
    </row>
    <row r="54" spans="1:3" ht="16.5" thickBot="1">
      <c r="A54" s="132" t="s">
        <v>143</v>
      </c>
      <c r="B54" s="242" t="s">
        <v>576</v>
      </c>
      <c r="C54" s="142" t="s">
        <v>113</v>
      </c>
    </row>
    <row r="55" spans="1:3" ht="16.5" thickBot="1">
      <c r="A55" s="132" t="s">
        <v>143</v>
      </c>
      <c r="B55" s="402" t="s">
        <v>1157</v>
      </c>
      <c r="C55" s="403" t="s">
        <v>991</v>
      </c>
    </row>
    <row r="56" spans="1:3" ht="16.5" thickBot="1">
      <c r="A56" s="132" t="s">
        <v>143</v>
      </c>
      <c r="B56" s="404" t="s">
        <v>1158</v>
      </c>
      <c r="C56" s="195" t="s">
        <v>1155</v>
      </c>
    </row>
    <row r="57" spans="1:3" ht="16.5" thickBot="1">
      <c r="A57" s="127">
        <v>100</v>
      </c>
      <c r="B57" s="531" t="s">
        <v>166</v>
      </c>
      <c r="C57" s="531"/>
    </row>
    <row r="58" spans="1:3" ht="69" customHeight="1" thickBot="1">
      <c r="A58" s="134">
        <v>100</v>
      </c>
      <c r="B58" s="135" t="s">
        <v>569</v>
      </c>
      <c r="C58" s="405" t="s">
        <v>241</v>
      </c>
    </row>
    <row r="59" spans="1:3" ht="75.75" customHeight="1" thickBot="1">
      <c r="A59" s="134">
        <v>100</v>
      </c>
      <c r="B59" s="135" t="s">
        <v>570</v>
      </c>
      <c r="C59" s="405" t="s">
        <v>184</v>
      </c>
    </row>
    <row r="60" spans="1:3" ht="69" customHeight="1" thickBot="1">
      <c r="A60" s="134">
        <v>100</v>
      </c>
      <c r="B60" s="135" t="s">
        <v>571</v>
      </c>
      <c r="C60" s="405" t="s">
        <v>542</v>
      </c>
    </row>
    <row r="61" spans="1:3" ht="69" customHeight="1" thickBot="1">
      <c r="A61" s="134">
        <v>100</v>
      </c>
      <c r="B61" s="135" t="s">
        <v>572</v>
      </c>
      <c r="C61" s="405" t="s">
        <v>543</v>
      </c>
    </row>
    <row r="62" spans="1:3" ht="16.5" thickBot="1">
      <c r="A62" s="127">
        <v>182</v>
      </c>
      <c r="B62" s="531" t="s">
        <v>164</v>
      </c>
      <c r="C62" s="531"/>
    </row>
    <row r="63" spans="1:3" ht="79.5" thickBot="1">
      <c r="A63" s="134">
        <v>182</v>
      </c>
      <c r="B63" s="135" t="s">
        <v>565</v>
      </c>
      <c r="C63" s="126" t="s">
        <v>169</v>
      </c>
    </row>
    <row r="64" spans="1:3" ht="111" thickBot="1">
      <c r="A64" s="134">
        <v>182</v>
      </c>
      <c r="B64" s="135" t="s">
        <v>566</v>
      </c>
      <c r="C64" s="401" t="s">
        <v>179</v>
      </c>
    </row>
    <row r="65" spans="1:3" ht="48" thickBot="1">
      <c r="A65" s="134">
        <v>182</v>
      </c>
      <c r="B65" s="135" t="s">
        <v>567</v>
      </c>
      <c r="C65" s="405" t="s">
        <v>29</v>
      </c>
    </row>
    <row r="66" spans="1:3" ht="78.75" customHeight="1" thickBot="1">
      <c r="A66" s="134">
        <v>182</v>
      </c>
      <c r="B66" s="135" t="s">
        <v>568</v>
      </c>
      <c r="C66" s="405" t="s">
        <v>716</v>
      </c>
    </row>
    <row r="67" spans="1:3" ht="18" customHeight="1" thickBot="1">
      <c r="A67" s="134">
        <v>182</v>
      </c>
      <c r="B67" s="242" t="s">
        <v>834</v>
      </c>
      <c r="C67" s="142" t="s">
        <v>256</v>
      </c>
    </row>
    <row r="68" spans="1:3" ht="16.5" thickBot="1">
      <c r="A68" s="134">
        <v>182</v>
      </c>
      <c r="B68" s="242" t="s">
        <v>835</v>
      </c>
      <c r="C68" s="142" t="s">
        <v>283</v>
      </c>
    </row>
    <row r="69" spans="1:3" ht="35.25" customHeight="1" thickBot="1">
      <c r="A69" s="134">
        <v>182</v>
      </c>
      <c r="B69" s="242" t="s">
        <v>714</v>
      </c>
      <c r="C69" s="142" t="s">
        <v>715</v>
      </c>
    </row>
    <row r="70" spans="1:3" ht="16.5" thickBot="1">
      <c r="A70" s="137" t="s">
        <v>149</v>
      </c>
      <c r="B70" s="531" t="s">
        <v>150</v>
      </c>
      <c r="C70" s="531"/>
    </row>
    <row r="71" spans="1:3" ht="32.25" thickBot="1">
      <c r="A71" s="132" t="s">
        <v>149</v>
      </c>
      <c r="B71" s="406" t="s">
        <v>298</v>
      </c>
      <c r="C71" s="405" t="s">
        <v>299</v>
      </c>
    </row>
    <row r="72" spans="1:4" ht="83.25" customHeight="1" thickBot="1">
      <c r="A72" s="132" t="s">
        <v>149</v>
      </c>
      <c r="B72" s="406" t="s">
        <v>1536</v>
      </c>
      <c r="C72" s="405" t="s">
        <v>941</v>
      </c>
      <c r="D72" s="473"/>
    </row>
    <row r="73" spans="1:3" ht="83.25" customHeight="1" thickBot="1">
      <c r="A73" s="132" t="s">
        <v>149</v>
      </c>
      <c r="B73" s="406" t="s">
        <v>1537</v>
      </c>
      <c r="C73" s="405" t="s">
        <v>941</v>
      </c>
    </row>
    <row r="74" spans="1:3" ht="79.5" thickBot="1">
      <c r="A74" s="132" t="s">
        <v>149</v>
      </c>
      <c r="B74" s="407" t="s">
        <v>311</v>
      </c>
      <c r="C74" s="126" t="s">
        <v>312</v>
      </c>
    </row>
    <row r="75" spans="1:3" ht="79.5" thickBot="1">
      <c r="A75" s="132">
        <v>900</v>
      </c>
      <c r="B75" s="135" t="s">
        <v>206</v>
      </c>
      <c r="C75" s="126" t="s">
        <v>248</v>
      </c>
    </row>
    <row r="76" spans="1:3" ht="35.25" customHeight="1" thickBot="1">
      <c r="A76" s="132">
        <v>900</v>
      </c>
      <c r="B76" s="135" t="s">
        <v>1161</v>
      </c>
      <c r="C76" s="126" t="s">
        <v>207</v>
      </c>
    </row>
    <row r="77" spans="1:3" ht="79.5" thickBot="1">
      <c r="A77" s="132">
        <v>900</v>
      </c>
      <c r="B77" s="135" t="s">
        <v>208</v>
      </c>
      <c r="C77" s="126" t="s">
        <v>70</v>
      </c>
    </row>
    <row r="78" spans="1:3" ht="79.5" thickBot="1">
      <c r="A78" s="134">
        <v>900</v>
      </c>
      <c r="B78" s="135" t="s">
        <v>212</v>
      </c>
      <c r="C78" s="401" t="s">
        <v>1</v>
      </c>
    </row>
    <row r="79" spans="1:3" ht="32.25" thickBot="1">
      <c r="A79" s="132">
        <v>900</v>
      </c>
      <c r="B79" s="135" t="s">
        <v>77</v>
      </c>
      <c r="C79" s="126" t="s">
        <v>178</v>
      </c>
    </row>
    <row r="80" spans="1:3" ht="49.5" customHeight="1" thickBot="1">
      <c r="A80" s="132" t="s">
        <v>149</v>
      </c>
      <c r="B80" s="135" t="s">
        <v>210</v>
      </c>
      <c r="C80" s="126" t="s">
        <v>140</v>
      </c>
    </row>
    <row r="81" spans="1:3" ht="79.5" customHeight="1" thickBot="1">
      <c r="A81" s="132">
        <v>900</v>
      </c>
      <c r="B81" s="135" t="s">
        <v>211</v>
      </c>
      <c r="C81" s="401" t="s">
        <v>0</v>
      </c>
    </row>
    <row r="82" spans="1:3" ht="63.75" thickBot="1">
      <c r="A82" s="132" t="s">
        <v>149</v>
      </c>
      <c r="B82" s="135" t="s">
        <v>947</v>
      </c>
      <c r="C82" s="405" t="s">
        <v>945</v>
      </c>
    </row>
    <row r="83" spans="1:3" ht="48" thickBot="1">
      <c r="A83" s="132" t="s">
        <v>149</v>
      </c>
      <c r="B83" s="135" t="s">
        <v>314</v>
      </c>
      <c r="C83" s="405" t="s">
        <v>313</v>
      </c>
    </row>
    <row r="84" spans="1:3" ht="79.5" thickBot="1">
      <c r="A84" s="132" t="s">
        <v>149</v>
      </c>
      <c r="B84" s="135" t="s">
        <v>1307</v>
      </c>
      <c r="C84" s="405" t="s">
        <v>1308</v>
      </c>
    </row>
    <row r="85" spans="1:3" ht="79.5" customHeight="1" thickBot="1">
      <c r="A85" s="132" t="s">
        <v>149</v>
      </c>
      <c r="B85" s="135" t="s">
        <v>1335</v>
      </c>
      <c r="C85" s="405" t="s">
        <v>1337</v>
      </c>
    </row>
    <row r="86" spans="1:3" ht="66.75" customHeight="1" thickBot="1">
      <c r="A86" s="132" t="s">
        <v>149</v>
      </c>
      <c r="B86" s="135" t="s">
        <v>1409</v>
      </c>
      <c r="C86" s="405" t="s">
        <v>1410</v>
      </c>
    </row>
    <row r="87" spans="1:3" ht="75.75" customHeight="1" thickBot="1">
      <c r="A87" s="132" t="s">
        <v>149</v>
      </c>
      <c r="B87" s="135" t="s">
        <v>1411</v>
      </c>
      <c r="C87" s="405" t="s">
        <v>1412</v>
      </c>
    </row>
    <row r="88" spans="1:3" ht="63" customHeight="1" thickBot="1">
      <c r="A88" s="132" t="s">
        <v>149</v>
      </c>
      <c r="B88" s="134" t="s">
        <v>1413</v>
      </c>
      <c r="C88" s="24" t="s">
        <v>1414</v>
      </c>
    </row>
    <row r="89" spans="1:3" ht="75.75" customHeight="1" thickBot="1">
      <c r="A89" s="132" t="s">
        <v>149</v>
      </c>
      <c r="B89" s="134" t="s">
        <v>1415</v>
      </c>
      <c r="C89" s="24" t="s">
        <v>1416</v>
      </c>
    </row>
    <row r="90" spans="1:3" ht="78.75" customHeight="1" thickBot="1">
      <c r="A90" s="132" t="s">
        <v>149</v>
      </c>
      <c r="B90" s="134" t="s">
        <v>1417</v>
      </c>
      <c r="C90" s="24" t="s">
        <v>1418</v>
      </c>
    </row>
    <row r="91" spans="1:3" ht="64.5" customHeight="1" thickBot="1">
      <c r="A91" s="132" t="s">
        <v>149</v>
      </c>
      <c r="B91" s="134" t="s">
        <v>1419</v>
      </c>
      <c r="C91" s="24" t="s">
        <v>1420</v>
      </c>
    </row>
    <row r="92" spans="1:3" ht="81" customHeight="1" thickBot="1">
      <c r="A92" s="132" t="s">
        <v>149</v>
      </c>
      <c r="B92" s="134" t="s">
        <v>1336</v>
      </c>
      <c r="C92" s="24" t="s">
        <v>1338</v>
      </c>
    </row>
    <row r="93" spans="1:3" ht="32.25" thickBot="1">
      <c r="A93" s="138">
        <v>900</v>
      </c>
      <c r="B93" s="135" t="s">
        <v>79</v>
      </c>
      <c r="C93" s="126" t="s">
        <v>16</v>
      </c>
    </row>
    <row r="94" spans="1:3" ht="16.5" thickBot="1">
      <c r="A94" s="132">
        <v>900</v>
      </c>
      <c r="B94" s="134" t="s">
        <v>80</v>
      </c>
      <c r="C94" s="11" t="s">
        <v>49</v>
      </c>
    </row>
    <row r="95" spans="1:3" ht="32.25" thickBot="1">
      <c r="A95" s="132" t="s">
        <v>149</v>
      </c>
      <c r="B95" s="134" t="s">
        <v>1067</v>
      </c>
      <c r="C95" s="238" t="s">
        <v>315</v>
      </c>
    </row>
    <row r="96" spans="1:3" ht="48" customHeight="1" thickBot="1">
      <c r="A96" s="132" t="s">
        <v>149</v>
      </c>
      <c r="B96" s="134" t="s">
        <v>1347</v>
      </c>
      <c r="C96" s="11" t="s">
        <v>1348</v>
      </c>
    </row>
    <row r="97" spans="1:3" ht="40.5" customHeight="1" thickBot="1">
      <c r="A97" s="132" t="s">
        <v>149</v>
      </c>
      <c r="B97" s="134" t="s">
        <v>1364</v>
      </c>
      <c r="C97" s="238" t="s">
        <v>1363</v>
      </c>
    </row>
    <row r="98" spans="1:3" ht="16.5" thickBot="1">
      <c r="A98" s="137" t="s">
        <v>123</v>
      </c>
      <c r="B98" s="530" t="s">
        <v>122</v>
      </c>
      <c r="C98" s="530"/>
    </row>
    <row r="99" spans="1:3" ht="32.25" thickBot="1">
      <c r="A99" s="138" t="s">
        <v>123</v>
      </c>
      <c r="B99" s="135" t="s">
        <v>79</v>
      </c>
      <c r="C99" s="126" t="s">
        <v>16</v>
      </c>
    </row>
    <row r="100" spans="1:3" ht="16.5" thickBot="1">
      <c r="A100" s="132" t="s">
        <v>123</v>
      </c>
      <c r="B100" s="134" t="s">
        <v>80</v>
      </c>
      <c r="C100" s="11" t="s">
        <v>49</v>
      </c>
    </row>
    <row r="101" spans="1:3" ht="16.5" thickBot="1">
      <c r="A101" s="137">
        <v>909</v>
      </c>
      <c r="B101" s="530" t="s">
        <v>87</v>
      </c>
      <c r="C101" s="530"/>
    </row>
    <row r="102" spans="1:3" ht="32.25" thickBot="1">
      <c r="A102" s="132">
        <v>909</v>
      </c>
      <c r="B102" s="134" t="s">
        <v>77</v>
      </c>
      <c r="C102" s="11" t="s">
        <v>209</v>
      </c>
    </row>
    <row r="103" spans="1:3" ht="32.25" thickBot="1">
      <c r="A103" s="132">
        <v>909</v>
      </c>
      <c r="B103" s="134" t="s">
        <v>79</v>
      </c>
      <c r="C103" s="143" t="s">
        <v>16</v>
      </c>
    </row>
    <row r="104" spans="1:3" ht="16.5" thickBot="1">
      <c r="A104" s="132">
        <v>909</v>
      </c>
      <c r="B104" s="134" t="s">
        <v>80</v>
      </c>
      <c r="C104" s="11" t="s">
        <v>49</v>
      </c>
    </row>
    <row r="105" spans="1:3" ht="16.5" thickBot="1">
      <c r="A105" s="137" t="s">
        <v>285</v>
      </c>
      <c r="B105" s="530" t="s">
        <v>240</v>
      </c>
      <c r="C105" s="530"/>
    </row>
    <row r="106" spans="1:3" ht="32.25" thickBot="1">
      <c r="A106" s="138" t="s">
        <v>285</v>
      </c>
      <c r="B106" s="135" t="s">
        <v>77</v>
      </c>
      <c r="C106" s="126" t="s">
        <v>178</v>
      </c>
    </row>
    <row r="107" spans="1:3" ht="32.25" thickBot="1">
      <c r="A107" s="132" t="s">
        <v>285</v>
      </c>
      <c r="B107" s="134" t="s">
        <v>79</v>
      </c>
      <c r="C107" s="143" t="s">
        <v>16</v>
      </c>
    </row>
    <row r="108" spans="1:3" ht="16.5" thickBot="1">
      <c r="A108" s="132" t="s">
        <v>285</v>
      </c>
      <c r="B108" s="134" t="s">
        <v>80</v>
      </c>
      <c r="C108" s="11" t="s">
        <v>49</v>
      </c>
    </row>
  </sheetData>
  <sheetProtection/>
  <mergeCells count="15">
    <mergeCell ref="B50:C50"/>
    <mergeCell ref="B98:C98"/>
    <mergeCell ref="B62:C62"/>
    <mergeCell ref="B57:C57"/>
    <mergeCell ref="B16:C16"/>
    <mergeCell ref="B105:C105"/>
    <mergeCell ref="B70:C70"/>
    <mergeCell ref="B101:C101"/>
    <mergeCell ref="B11:C11"/>
    <mergeCell ref="A2:C2"/>
    <mergeCell ref="B3:C3"/>
    <mergeCell ref="A5:C5"/>
    <mergeCell ref="A6:C6"/>
    <mergeCell ref="A8:B8"/>
    <mergeCell ref="C8:C9"/>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PageLayoutView="0" workbookViewId="0" topLeftCell="A1">
      <selection activeCell="C10" sqref="C10"/>
    </sheetView>
  </sheetViews>
  <sheetFormatPr defaultColWidth="9.140625" defaultRowHeight="12.75"/>
  <cols>
    <col min="1" max="1" width="29.140625" style="104" customWidth="1"/>
    <col min="2" max="2" width="58.7109375" style="104" customWidth="1"/>
    <col min="3" max="3" width="20.00390625" style="74" customWidth="1"/>
    <col min="4" max="4" width="19.7109375" style="74" customWidth="1"/>
    <col min="5" max="5" width="21.140625" style="74" customWidth="1"/>
    <col min="6" max="8" width="19.8515625" style="233" hidden="1" customWidth="1"/>
    <col min="9" max="9" width="0" style="104" hidden="1" customWidth="1"/>
    <col min="10" max="16384" width="9.140625" style="104" customWidth="1"/>
  </cols>
  <sheetData>
    <row r="1" spans="1:5" ht="15">
      <c r="A1" s="1"/>
      <c r="E1" s="256" t="s">
        <v>88</v>
      </c>
    </row>
    <row r="2" spans="1:5" ht="15">
      <c r="A2" s="1"/>
      <c r="C2" s="532" t="s">
        <v>109</v>
      </c>
      <c r="D2" s="532"/>
      <c r="E2" s="532"/>
    </row>
    <row r="3" spans="1:5" ht="15">
      <c r="A3" s="1"/>
      <c r="B3" s="1"/>
      <c r="C3" s="258"/>
      <c r="D3" s="256"/>
      <c r="E3" s="256" t="s">
        <v>1519</v>
      </c>
    </row>
    <row r="4" spans="1:2" ht="15">
      <c r="A4" s="1"/>
      <c r="B4" s="1"/>
    </row>
    <row r="5" spans="1:5" ht="31.5" customHeight="1">
      <c r="A5" s="529" t="s">
        <v>1482</v>
      </c>
      <c r="B5" s="529"/>
      <c r="C5" s="529"/>
      <c r="D5" s="529"/>
      <c r="E5" s="529"/>
    </row>
    <row r="6" spans="1:3" ht="18.75" customHeight="1">
      <c r="A6" s="513"/>
      <c r="B6" s="513"/>
      <c r="C6" s="513"/>
    </row>
    <row r="7" spans="1:2" ht="15.75" thickBot="1">
      <c r="A7" s="4"/>
      <c r="B7" s="4"/>
    </row>
    <row r="8" spans="1:5" ht="16.5" thickBot="1">
      <c r="A8" s="533" t="s">
        <v>85</v>
      </c>
      <c r="B8" s="533" t="s">
        <v>86</v>
      </c>
      <c r="C8" s="535" t="s">
        <v>203</v>
      </c>
      <c r="D8" s="536"/>
      <c r="E8" s="536"/>
    </row>
    <row r="9" spans="1:5" ht="57.75" customHeight="1" thickBot="1">
      <c r="A9" s="534"/>
      <c r="B9" s="534"/>
      <c r="C9" s="259" t="s">
        <v>626</v>
      </c>
      <c r="D9" s="259" t="s">
        <v>627</v>
      </c>
      <c r="E9" s="259" t="s">
        <v>849</v>
      </c>
    </row>
    <row r="10" spans="1:8" ht="24" customHeight="1" thickBot="1">
      <c r="A10" s="13" t="s">
        <v>213</v>
      </c>
      <c r="B10" s="12" t="s">
        <v>39</v>
      </c>
      <c r="C10" s="260">
        <f>C24</f>
        <v>11131296.190000117</v>
      </c>
      <c r="D10" s="260">
        <f>D24</f>
        <v>0</v>
      </c>
      <c r="E10" s="260">
        <f>E24</f>
        <v>0</v>
      </c>
      <c r="F10" s="233">
        <v>7582374.379999995</v>
      </c>
      <c r="G10" s="233">
        <v>0</v>
      </c>
      <c r="H10" s="233">
        <v>0</v>
      </c>
    </row>
    <row r="11" spans="1:6" ht="16.5" customHeight="1" hidden="1" thickBot="1">
      <c r="A11" s="13" t="s">
        <v>41</v>
      </c>
      <c r="B11" s="12" t="s">
        <v>40</v>
      </c>
      <c r="C11" s="251">
        <f>C18</f>
        <v>0</v>
      </c>
      <c r="F11" s="233">
        <v>0</v>
      </c>
    </row>
    <row r="12" spans="1:6" ht="32.25" customHeight="1" hidden="1" thickBot="1">
      <c r="A12" s="8" t="s">
        <v>43</v>
      </c>
      <c r="B12" s="14" t="s">
        <v>42</v>
      </c>
      <c r="C12" s="254">
        <v>0</v>
      </c>
      <c r="F12" s="233">
        <v>0</v>
      </c>
    </row>
    <row r="13" spans="1:6" ht="32.25" customHeight="1" hidden="1" thickBot="1">
      <c r="A13" s="8" t="s">
        <v>45</v>
      </c>
      <c r="B13" s="14" t="s">
        <v>44</v>
      </c>
      <c r="C13" s="254">
        <v>0</v>
      </c>
      <c r="F13" s="233">
        <v>0</v>
      </c>
    </row>
    <row r="14" spans="1:6" ht="32.25" customHeight="1" hidden="1" thickBot="1">
      <c r="A14" s="8" t="s">
        <v>47</v>
      </c>
      <c r="B14" s="14" t="s">
        <v>46</v>
      </c>
      <c r="C14" s="254">
        <v>0</v>
      </c>
      <c r="F14" s="233">
        <v>0</v>
      </c>
    </row>
    <row r="15" spans="1:6" ht="32.25" customHeight="1" hidden="1" thickBot="1">
      <c r="A15" s="8" t="s">
        <v>290</v>
      </c>
      <c r="B15" s="14" t="s">
        <v>289</v>
      </c>
      <c r="C15" s="254">
        <v>0</v>
      </c>
      <c r="F15" s="233">
        <v>0</v>
      </c>
    </row>
    <row r="16" spans="1:6" ht="32.25" customHeight="1" hidden="1" thickBot="1">
      <c r="A16" s="8" t="s">
        <v>292</v>
      </c>
      <c r="B16" s="14" t="s">
        <v>291</v>
      </c>
      <c r="C16" s="254">
        <v>0</v>
      </c>
      <c r="F16" s="233">
        <v>0</v>
      </c>
    </row>
    <row r="17" spans="1:6" ht="48" customHeight="1" hidden="1" thickBot="1">
      <c r="A17" s="13" t="s">
        <v>294</v>
      </c>
      <c r="B17" s="12" t="s">
        <v>293</v>
      </c>
      <c r="C17" s="251">
        <f>C19</f>
        <v>0</v>
      </c>
      <c r="F17" s="233">
        <v>0</v>
      </c>
    </row>
    <row r="18" spans="1:6" ht="48" customHeight="1" hidden="1" thickBot="1">
      <c r="A18" s="13" t="s">
        <v>67</v>
      </c>
      <c r="B18" s="12" t="s">
        <v>66</v>
      </c>
      <c r="C18" s="251">
        <f>C20</f>
        <v>0</v>
      </c>
      <c r="F18" s="233">
        <v>0</v>
      </c>
    </row>
    <row r="19" spans="1:6" ht="63.75" customHeight="1" hidden="1" thickBot="1">
      <c r="A19" s="8" t="s">
        <v>215</v>
      </c>
      <c r="B19" s="14" t="s">
        <v>214</v>
      </c>
      <c r="C19" s="254">
        <v>0</v>
      </c>
      <c r="F19" s="233">
        <v>0</v>
      </c>
    </row>
    <row r="20" spans="1:6" ht="48" customHeight="1" hidden="1" thickBot="1">
      <c r="A20" s="8" t="s">
        <v>305</v>
      </c>
      <c r="B20" s="14" t="s">
        <v>304</v>
      </c>
      <c r="C20" s="254">
        <v>0</v>
      </c>
      <c r="F20" s="233">
        <v>0</v>
      </c>
    </row>
    <row r="21" spans="1:6" ht="32.25" customHeight="1" hidden="1" thickBot="1">
      <c r="A21" s="8" t="s">
        <v>250</v>
      </c>
      <c r="B21" s="14" t="s">
        <v>249</v>
      </c>
      <c r="C21" s="254">
        <v>0</v>
      </c>
      <c r="F21" s="233">
        <v>0</v>
      </c>
    </row>
    <row r="22" spans="1:6" ht="32.25" customHeight="1" hidden="1" thickBot="1">
      <c r="A22" s="8" t="s">
        <v>4</v>
      </c>
      <c r="B22" s="14" t="s">
        <v>251</v>
      </c>
      <c r="C22" s="254">
        <v>0</v>
      </c>
      <c r="F22" s="233">
        <v>0</v>
      </c>
    </row>
    <row r="23" spans="1:6" ht="48" customHeight="1" hidden="1" thickBot="1">
      <c r="A23" s="8" t="s">
        <v>6</v>
      </c>
      <c r="B23" s="14" t="s">
        <v>5</v>
      </c>
      <c r="C23" s="254">
        <v>0</v>
      </c>
      <c r="F23" s="233">
        <v>0</v>
      </c>
    </row>
    <row r="24" spans="1:8" ht="25.5" customHeight="1" thickBot="1">
      <c r="A24" s="13" t="s">
        <v>8</v>
      </c>
      <c r="B24" s="12" t="s">
        <v>7</v>
      </c>
      <c r="C24" s="260">
        <f>C25+C26</f>
        <v>11131296.190000117</v>
      </c>
      <c r="D24" s="260">
        <f>D25+D26</f>
        <v>0</v>
      </c>
      <c r="E24" s="260">
        <f>E25+E26</f>
        <v>0</v>
      </c>
      <c r="F24" s="233">
        <v>7582374.379999995</v>
      </c>
      <c r="G24" s="233">
        <v>0</v>
      </c>
      <c r="H24" s="233">
        <v>0</v>
      </c>
    </row>
    <row r="25" spans="1:8" ht="24" customHeight="1" thickBot="1">
      <c r="A25" s="9" t="s">
        <v>10</v>
      </c>
      <c r="B25" s="11" t="s">
        <v>9</v>
      </c>
      <c r="C25" s="254">
        <v>-356516420.84</v>
      </c>
      <c r="D25" s="254">
        <v>-243970101.45</v>
      </c>
      <c r="E25" s="254">
        <v>-242309598.88</v>
      </c>
      <c r="F25" s="233">
        <v>-356989085.86</v>
      </c>
      <c r="G25" s="233">
        <v>-243970101.45</v>
      </c>
      <c r="H25" s="233">
        <v>-242309598.88</v>
      </c>
    </row>
    <row r="26" spans="1:8" ht="19.5" customHeight="1" thickBot="1">
      <c r="A26" s="8" t="s">
        <v>12</v>
      </c>
      <c r="B26" s="14" t="s">
        <v>11</v>
      </c>
      <c r="C26" s="255">
        <v>367647717.0300001</v>
      </c>
      <c r="D26" s="254">
        <v>243970101.45</v>
      </c>
      <c r="E26" s="254">
        <v>242309598.88</v>
      </c>
      <c r="F26" s="233">
        <v>364571460.24</v>
      </c>
      <c r="G26" s="233">
        <v>243970101.45</v>
      </c>
      <c r="H26" s="233">
        <v>242309598.88</v>
      </c>
    </row>
    <row r="27" spans="1:8" ht="36" customHeight="1" thickBot="1">
      <c r="A27" s="13" t="s">
        <v>14</v>
      </c>
      <c r="B27" s="12" t="s">
        <v>13</v>
      </c>
      <c r="C27" s="251">
        <f>C25</f>
        <v>-356516420.84</v>
      </c>
      <c r="D27" s="251">
        <f>D25</f>
        <v>-243970101.45</v>
      </c>
      <c r="E27" s="251">
        <f>E25</f>
        <v>-242309598.88</v>
      </c>
      <c r="F27" s="233">
        <v>-356989085.86</v>
      </c>
      <c r="G27" s="233">
        <v>-243970101.45</v>
      </c>
      <c r="H27" s="233">
        <v>-242309598.88</v>
      </c>
    </row>
    <row r="28" spans="1:8" ht="36" customHeight="1" thickBot="1">
      <c r="A28" s="13" t="s">
        <v>264</v>
      </c>
      <c r="B28" s="12" t="s">
        <v>263</v>
      </c>
      <c r="C28" s="251">
        <f>C25</f>
        <v>-356516420.84</v>
      </c>
      <c r="D28" s="251">
        <f>D25</f>
        <v>-243970101.45</v>
      </c>
      <c r="E28" s="251">
        <f>E25</f>
        <v>-242309598.88</v>
      </c>
      <c r="F28" s="233">
        <v>-356989085.86</v>
      </c>
      <c r="G28" s="233">
        <v>-243970101.45</v>
      </c>
      <c r="H28" s="233">
        <v>-242309598.88</v>
      </c>
    </row>
    <row r="29" spans="1:8" ht="36" customHeight="1" thickBot="1">
      <c r="A29" s="13" t="s">
        <v>266</v>
      </c>
      <c r="B29" s="12" t="s">
        <v>265</v>
      </c>
      <c r="C29" s="251">
        <f aca="true" t="shared" si="0" ref="C29:E30">C25</f>
        <v>-356516420.84</v>
      </c>
      <c r="D29" s="251">
        <f t="shared" si="0"/>
        <v>-243970101.45</v>
      </c>
      <c r="E29" s="251">
        <f t="shared" si="0"/>
        <v>-242309598.88</v>
      </c>
      <c r="F29" s="233">
        <v>-356989085.86</v>
      </c>
      <c r="G29" s="233">
        <v>-243970101.45</v>
      </c>
      <c r="H29" s="233">
        <v>-242309598.88</v>
      </c>
    </row>
    <row r="30" spans="1:8" ht="36" customHeight="1" thickBot="1">
      <c r="A30" s="13" t="s">
        <v>268</v>
      </c>
      <c r="B30" s="12" t="s">
        <v>267</v>
      </c>
      <c r="C30" s="251">
        <f t="shared" si="0"/>
        <v>367647717.0300001</v>
      </c>
      <c r="D30" s="251">
        <f t="shared" si="0"/>
        <v>243970101.45</v>
      </c>
      <c r="E30" s="251">
        <f t="shared" si="0"/>
        <v>242309598.88</v>
      </c>
      <c r="F30" s="233">
        <v>364571460.24</v>
      </c>
      <c r="G30" s="233">
        <v>243970101.45</v>
      </c>
      <c r="H30" s="233">
        <v>242309598.88</v>
      </c>
    </row>
    <row r="31" spans="1:8" ht="36" customHeight="1" thickBot="1">
      <c r="A31" s="13" t="s">
        <v>270</v>
      </c>
      <c r="B31" s="12" t="s">
        <v>269</v>
      </c>
      <c r="C31" s="261">
        <f>C26</f>
        <v>367647717.0300001</v>
      </c>
      <c r="D31" s="261">
        <f>D26</f>
        <v>243970101.45</v>
      </c>
      <c r="E31" s="261">
        <f>E26</f>
        <v>242309598.88</v>
      </c>
      <c r="F31" s="233">
        <v>364571460.24</v>
      </c>
      <c r="G31" s="233">
        <v>243970101.45</v>
      </c>
      <c r="H31" s="233">
        <v>242309598.88</v>
      </c>
    </row>
    <row r="32" spans="1:8" ht="36" customHeight="1">
      <c r="A32" s="54" t="s">
        <v>84</v>
      </c>
      <c r="B32" s="147" t="s">
        <v>83</v>
      </c>
      <c r="C32" s="262">
        <f>C26</f>
        <v>367647717.0300001</v>
      </c>
      <c r="D32" s="262">
        <f>D26</f>
        <v>243970101.45</v>
      </c>
      <c r="E32" s="262">
        <f>E26</f>
        <v>242309598.88</v>
      </c>
      <c r="F32" s="233">
        <v>364571460.24</v>
      </c>
      <c r="G32" s="233">
        <v>243970101.45</v>
      </c>
      <c r="H32" s="233">
        <v>242309598.88</v>
      </c>
    </row>
    <row r="34" spans="3:5" ht="15">
      <c r="C34" s="442"/>
      <c r="D34" s="442"/>
      <c r="E34" s="442"/>
    </row>
    <row r="38" spans="3:4" ht="15">
      <c r="C38" s="409"/>
      <c r="D38" s="409"/>
    </row>
    <row r="39" ht="15">
      <c r="D39" s="504"/>
    </row>
    <row r="43" spans="4:5" ht="15">
      <c r="D43" s="409"/>
      <c r="E43" s="409"/>
    </row>
  </sheetData>
  <sheetProtection/>
  <mergeCells count="6">
    <mergeCell ref="C2:E2"/>
    <mergeCell ref="A8:A9"/>
    <mergeCell ref="B8:B9"/>
    <mergeCell ref="A6:C6"/>
    <mergeCell ref="C8:E8"/>
    <mergeCell ref="A5:E5"/>
  </mergeCells>
  <printOptions/>
  <pageMargins left="0.75" right="0.49" top="1" bottom="1" header="0.5" footer="0.5"/>
  <pageSetup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J48"/>
  <sheetViews>
    <sheetView view="pageBreakPreview" zoomScale="60" zoomScaleNormal="80" workbookViewId="0" topLeftCell="A1">
      <selection activeCell="D28" sqref="D28"/>
    </sheetView>
  </sheetViews>
  <sheetFormatPr defaultColWidth="9.140625" defaultRowHeight="12.75"/>
  <cols>
    <col min="1" max="1" width="9.7109375" style="104" customWidth="1"/>
    <col min="2" max="2" width="29.57421875" style="104" customWidth="1"/>
    <col min="3" max="3" width="49.8515625" style="104" customWidth="1"/>
    <col min="4" max="4" width="24.28125" style="74" customWidth="1"/>
    <col min="5" max="5" width="21.57421875" style="74" customWidth="1"/>
    <col min="6" max="6" width="23.28125" style="74" customWidth="1"/>
    <col min="7" max="7" width="21.421875" style="104" hidden="1" customWidth="1"/>
    <col min="8" max="8" width="21.7109375" style="104" hidden="1" customWidth="1"/>
    <col min="9" max="9" width="18.8515625" style="104" hidden="1" customWidth="1"/>
    <col min="10" max="10" width="21.7109375" style="104" customWidth="1"/>
    <col min="11" max="16384" width="9.140625" style="104" customWidth="1"/>
  </cols>
  <sheetData>
    <row r="1" spans="1:6" ht="15">
      <c r="A1" s="1"/>
      <c r="B1" s="1"/>
      <c r="C1" s="200"/>
      <c r="F1" s="256" t="s">
        <v>181</v>
      </c>
    </row>
    <row r="2" spans="2:6" ht="15.75">
      <c r="B2" s="10"/>
      <c r="C2" s="528" t="s">
        <v>109</v>
      </c>
      <c r="D2" s="528"/>
      <c r="E2" s="528"/>
      <c r="F2" s="528"/>
    </row>
    <row r="3" spans="1:6" ht="15">
      <c r="A3" s="1"/>
      <c r="C3" s="200"/>
      <c r="D3" s="532" t="s">
        <v>1519</v>
      </c>
      <c r="E3" s="532"/>
      <c r="F3" s="532"/>
    </row>
    <row r="4" spans="1:3" ht="15">
      <c r="A4" s="4"/>
      <c r="B4" s="4"/>
      <c r="C4" s="4"/>
    </row>
    <row r="5" spans="1:6" ht="68.25" customHeight="1">
      <c r="A5" s="529" t="s">
        <v>1483</v>
      </c>
      <c r="B5" s="529"/>
      <c r="C5" s="529"/>
      <c r="D5" s="529"/>
      <c r="E5" s="529"/>
      <c r="F5" s="529"/>
    </row>
    <row r="6" spans="1:5" ht="18.75" customHeight="1">
      <c r="A6" s="513"/>
      <c r="B6" s="513"/>
      <c r="C6" s="513"/>
      <c r="D6" s="513"/>
      <c r="E6" s="257"/>
    </row>
    <row r="7" spans="1:4" ht="16.5" thickBot="1">
      <c r="A7" s="3"/>
      <c r="B7" s="4"/>
      <c r="C7" s="4"/>
      <c r="D7" s="252"/>
    </row>
    <row r="8" spans="1:6" ht="36.75" customHeight="1" thickBot="1">
      <c r="A8" s="541" t="s">
        <v>183</v>
      </c>
      <c r="B8" s="542"/>
      <c r="C8" s="543" t="s">
        <v>271</v>
      </c>
      <c r="D8" s="539" t="s">
        <v>995</v>
      </c>
      <c r="E8" s="539" t="s">
        <v>1184</v>
      </c>
      <c r="F8" s="539" t="s">
        <v>1481</v>
      </c>
    </row>
    <row r="9" spans="1:6" ht="83.25" customHeight="1" thickBot="1">
      <c r="A9" s="5" t="s">
        <v>182</v>
      </c>
      <c r="B9" s="6" t="s">
        <v>173</v>
      </c>
      <c r="C9" s="544"/>
      <c r="D9" s="540"/>
      <c r="E9" s="540"/>
      <c r="F9" s="540"/>
    </row>
    <row r="10" spans="1:6" ht="16.5" thickBot="1">
      <c r="A10" s="7">
        <v>1</v>
      </c>
      <c r="B10" s="6">
        <v>2</v>
      </c>
      <c r="C10" s="6">
        <v>3</v>
      </c>
      <c r="D10" s="253">
        <v>4</v>
      </c>
      <c r="E10" s="253">
        <v>5</v>
      </c>
      <c r="F10" s="253">
        <v>6</v>
      </c>
    </row>
    <row r="11" spans="1:6" ht="21" customHeight="1" thickBot="1">
      <c r="A11" s="109" t="s">
        <v>110</v>
      </c>
      <c r="B11" s="537" t="s">
        <v>180</v>
      </c>
      <c r="C11" s="538"/>
      <c r="D11" s="538"/>
      <c r="E11" s="538"/>
      <c r="F11" s="538"/>
    </row>
    <row r="12" spans="1:9" ht="35.25" customHeight="1" thickBot="1">
      <c r="A12" s="55" t="s">
        <v>110</v>
      </c>
      <c r="B12" s="55" t="s">
        <v>19</v>
      </c>
      <c r="C12" s="56" t="s">
        <v>39</v>
      </c>
      <c r="D12" s="251">
        <f>D26</f>
        <v>11131296.190000117</v>
      </c>
      <c r="E12" s="251">
        <f>SUM(E27:E28)</f>
        <v>0</v>
      </c>
      <c r="F12" s="251">
        <f>SUM(F27:F28)</f>
        <v>0</v>
      </c>
      <c r="G12" s="233">
        <v>7582374.379999995</v>
      </c>
      <c r="H12" s="233">
        <v>0</v>
      </c>
      <c r="I12" s="104">
        <v>0</v>
      </c>
    </row>
    <row r="13" spans="1:7" ht="51" customHeight="1" hidden="1" thickBot="1">
      <c r="A13" s="13" t="s">
        <v>110</v>
      </c>
      <c r="B13" s="13" t="s">
        <v>41</v>
      </c>
      <c r="C13" s="12" t="s">
        <v>40</v>
      </c>
      <c r="D13" s="251">
        <v>0</v>
      </c>
      <c r="G13" s="233">
        <v>0</v>
      </c>
    </row>
    <row r="14" spans="1:7" ht="51" customHeight="1" hidden="1" thickBot="1">
      <c r="A14" s="13" t="s">
        <v>110</v>
      </c>
      <c r="B14" s="13" t="s">
        <v>43</v>
      </c>
      <c r="C14" s="12" t="s">
        <v>42</v>
      </c>
      <c r="D14" s="251">
        <v>0</v>
      </c>
      <c r="G14" s="233">
        <v>0</v>
      </c>
    </row>
    <row r="15" spans="1:7" ht="51" customHeight="1" hidden="1" thickBot="1">
      <c r="A15" s="13" t="s">
        <v>110</v>
      </c>
      <c r="B15" s="13" t="s">
        <v>45</v>
      </c>
      <c r="C15" s="12" t="s">
        <v>44</v>
      </c>
      <c r="D15" s="251">
        <v>0</v>
      </c>
      <c r="G15" s="233">
        <v>0</v>
      </c>
    </row>
    <row r="16" spans="1:7" ht="35.25" customHeight="1" hidden="1" thickBot="1">
      <c r="A16" s="13" t="s">
        <v>110</v>
      </c>
      <c r="B16" s="13" t="s">
        <v>47</v>
      </c>
      <c r="C16" s="12" t="s">
        <v>46</v>
      </c>
      <c r="D16" s="251">
        <v>0</v>
      </c>
      <c r="G16" s="233">
        <v>0</v>
      </c>
    </row>
    <row r="17" spans="1:7" ht="34.5" customHeight="1" hidden="1" thickBot="1">
      <c r="A17" s="13" t="s">
        <v>110</v>
      </c>
      <c r="B17" s="13" t="s">
        <v>290</v>
      </c>
      <c r="C17" s="12" t="s">
        <v>289</v>
      </c>
      <c r="D17" s="251">
        <v>0</v>
      </c>
      <c r="G17" s="233">
        <v>0</v>
      </c>
    </row>
    <row r="18" spans="1:7" ht="37.5" customHeight="1" hidden="1" thickBot="1">
      <c r="A18" s="13" t="s">
        <v>110</v>
      </c>
      <c r="B18" s="13" t="s">
        <v>292</v>
      </c>
      <c r="C18" s="12" t="s">
        <v>291</v>
      </c>
      <c r="D18" s="251">
        <v>0</v>
      </c>
      <c r="G18" s="233">
        <v>0</v>
      </c>
    </row>
    <row r="19" spans="1:7" ht="51.75" customHeight="1" hidden="1" thickBot="1">
      <c r="A19" s="13" t="s">
        <v>110</v>
      </c>
      <c r="B19" s="13" t="s">
        <v>294</v>
      </c>
      <c r="C19" s="12" t="s">
        <v>293</v>
      </c>
      <c r="D19" s="251">
        <v>0</v>
      </c>
      <c r="G19" s="233">
        <v>0</v>
      </c>
    </row>
    <row r="20" spans="1:7" ht="95.25" customHeight="1" hidden="1" thickBot="1">
      <c r="A20" s="13" t="s">
        <v>110</v>
      </c>
      <c r="B20" s="13" t="s">
        <v>67</v>
      </c>
      <c r="C20" s="12" t="s">
        <v>66</v>
      </c>
      <c r="D20" s="251">
        <v>0</v>
      </c>
      <c r="G20" s="233">
        <v>0</v>
      </c>
    </row>
    <row r="21" spans="1:7" ht="95.25" customHeight="1" hidden="1" thickBot="1">
      <c r="A21" s="13" t="s">
        <v>110</v>
      </c>
      <c r="B21" s="13" t="s">
        <v>215</v>
      </c>
      <c r="C21" s="12" t="s">
        <v>214</v>
      </c>
      <c r="D21" s="251">
        <v>0</v>
      </c>
      <c r="G21" s="233">
        <v>0</v>
      </c>
    </row>
    <row r="22" spans="1:7" ht="95.25" customHeight="1" hidden="1" thickBot="1">
      <c r="A22" s="13" t="s">
        <v>110</v>
      </c>
      <c r="B22" s="13" t="s">
        <v>305</v>
      </c>
      <c r="C22" s="12" t="s">
        <v>304</v>
      </c>
      <c r="D22" s="251">
        <v>0</v>
      </c>
      <c r="G22" s="233">
        <v>0</v>
      </c>
    </row>
    <row r="23" spans="1:7" ht="48" customHeight="1" hidden="1" thickBot="1">
      <c r="A23" s="13" t="s">
        <v>110</v>
      </c>
      <c r="B23" s="13" t="s">
        <v>250</v>
      </c>
      <c r="C23" s="12" t="s">
        <v>249</v>
      </c>
      <c r="D23" s="251">
        <v>0</v>
      </c>
      <c r="G23" s="233">
        <v>0</v>
      </c>
    </row>
    <row r="24" spans="1:7" ht="63.75" customHeight="1" hidden="1" thickBot="1">
      <c r="A24" s="13" t="s">
        <v>110</v>
      </c>
      <c r="B24" s="13" t="s">
        <v>4</v>
      </c>
      <c r="C24" s="12" t="s">
        <v>251</v>
      </c>
      <c r="D24" s="251">
        <v>0</v>
      </c>
      <c r="G24" s="233">
        <v>0</v>
      </c>
    </row>
    <row r="25" spans="1:7" ht="79.5" customHeight="1" hidden="1" thickBot="1">
      <c r="A25" s="13" t="s">
        <v>110</v>
      </c>
      <c r="B25" s="13" t="s">
        <v>6</v>
      </c>
      <c r="C25" s="12" t="s">
        <v>5</v>
      </c>
      <c r="D25" s="251">
        <v>0</v>
      </c>
      <c r="G25" s="233">
        <v>0</v>
      </c>
    </row>
    <row r="26" spans="1:9" ht="16.5" thickBot="1">
      <c r="A26" s="13" t="s">
        <v>110</v>
      </c>
      <c r="B26" s="13" t="s">
        <v>20</v>
      </c>
      <c r="C26" s="12" t="s">
        <v>7</v>
      </c>
      <c r="D26" s="251">
        <f>D27+D28</f>
        <v>11131296.190000117</v>
      </c>
      <c r="E26" s="251">
        <f>SUM(E27:E28)</f>
        <v>0</v>
      </c>
      <c r="F26" s="251">
        <f>SUM(F27:F28)</f>
        <v>0</v>
      </c>
      <c r="G26" s="233">
        <v>7582374.379999995</v>
      </c>
      <c r="H26" s="234">
        <v>0</v>
      </c>
      <c r="I26" s="104">
        <v>0</v>
      </c>
    </row>
    <row r="27" spans="1:10" ht="16.5" thickBot="1">
      <c r="A27" s="8" t="s">
        <v>110</v>
      </c>
      <c r="B27" s="9" t="s">
        <v>21</v>
      </c>
      <c r="C27" s="11" t="s">
        <v>9</v>
      </c>
      <c r="D27" s="254">
        <v>-356516420.84</v>
      </c>
      <c r="E27" s="254">
        <v>-243970101.45</v>
      </c>
      <c r="F27" s="254">
        <v>-242309598.88</v>
      </c>
      <c r="G27" s="233">
        <v>-356989085.86</v>
      </c>
      <c r="H27" s="233">
        <v>-243970101.45</v>
      </c>
      <c r="I27" s="233">
        <v>-242309598.88</v>
      </c>
      <c r="J27" s="233"/>
    </row>
    <row r="28" spans="1:10" ht="16.5" thickBot="1">
      <c r="A28" s="8" t="s">
        <v>110</v>
      </c>
      <c r="B28" s="8" t="s">
        <v>22</v>
      </c>
      <c r="C28" s="14" t="s">
        <v>11</v>
      </c>
      <c r="D28" s="255">
        <v>367647717.0300001</v>
      </c>
      <c r="E28" s="254">
        <v>243970101.45</v>
      </c>
      <c r="F28" s="254">
        <v>242309598.88</v>
      </c>
      <c r="G28" s="233">
        <v>364571460.24</v>
      </c>
      <c r="H28" s="233">
        <v>243970101.45</v>
      </c>
      <c r="I28" s="233">
        <v>242309598.88</v>
      </c>
      <c r="J28" s="233"/>
    </row>
    <row r="29" spans="1:9" ht="32.25" thickBot="1">
      <c r="A29" s="13" t="s">
        <v>110</v>
      </c>
      <c r="B29" s="13" t="s">
        <v>23</v>
      </c>
      <c r="C29" s="12" t="s">
        <v>13</v>
      </c>
      <c r="D29" s="251">
        <f>D27</f>
        <v>-356516420.84</v>
      </c>
      <c r="E29" s="251">
        <f>SUM(E27)</f>
        <v>-243970101.45</v>
      </c>
      <c r="F29" s="251">
        <f>SUM(F27)</f>
        <v>-242309598.88</v>
      </c>
      <c r="G29" s="104">
        <v>-356989085.86</v>
      </c>
      <c r="H29" s="234">
        <v>-243970101.45</v>
      </c>
      <c r="I29" s="234">
        <v>-242309598.88</v>
      </c>
    </row>
    <row r="30" spans="1:9" ht="32.25" thickBot="1">
      <c r="A30" s="13" t="s">
        <v>110</v>
      </c>
      <c r="B30" s="13" t="s">
        <v>24</v>
      </c>
      <c r="C30" s="12" t="s">
        <v>263</v>
      </c>
      <c r="D30" s="251">
        <f>D27</f>
        <v>-356516420.84</v>
      </c>
      <c r="E30" s="251">
        <f>SUM(E27)</f>
        <v>-243970101.45</v>
      </c>
      <c r="F30" s="251">
        <f>SUM(F27)</f>
        <v>-242309598.88</v>
      </c>
      <c r="G30" s="104">
        <v>-356989085.86</v>
      </c>
      <c r="H30" s="234">
        <v>-243970101.45</v>
      </c>
      <c r="I30" s="104">
        <v>-242309598.88</v>
      </c>
    </row>
    <row r="31" spans="1:9" ht="32.25" thickBot="1">
      <c r="A31" s="13" t="s">
        <v>110</v>
      </c>
      <c r="B31" s="13" t="s">
        <v>118</v>
      </c>
      <c r="C31" s="12" t="s">
        <v>265</v>
      </c>
      <c r="D31" s="251">
        <f>D27</f>
        <v>-356516420.84</v>
      </c>
      <c r="E31" s="251">
        <f>SUM(E29)</f>
        <v>-243970101.45</v>
      </c>
      <c r="F31" s="251">
        <f>SUM(F29)</f>
        <v>-242309598.88</v>
      </c>
      <c r="G31" s="104">
        <v>-356989085.86</v>
      </c>
      <c r="H31" s="104">
        <v>-243970101.45</v>
      </c>
      <c r="I31" s="104">
        <v>-242309598.88</v>
      </c>
    </row>
    <row r="32" spans="1:9" ht="32.25" thickBot="1">
      <c r="A32" s="13" t="s">
        <v>110</v>
      </c>
      <c r="B32" s="13" t="s">
        <v>119</v>
      </c>
      <c r="C32" s="12" t="s">
        <v>267</v>
      </c>
      <c r="D32" s="251">
        <f>D28</f>
        <v>367647717.0300001</v>
      </c>
      <c r="E32" s="251">
        <f>SUM(E28)</f>
        <v>243970101.45</v>
      </c>
      <c r="F32" s="251">
        <f>SUM(F28)</f>
        <v>242309598.88</v>
      </c>
      <c r="G32" s="104">
        <v>364571460.24</v>
      </c>
      <c r="H32" s="104">
        <v>243970101.45</v>
      </c>
      <c r="I32" s="104">
        <v>242309598.88</v>
      </c>
    </row>
    <row r="33" spans="1:9" ht="32.25" thickBot="1">
      <c r="A33" s="13" t="s">
        <v>110</v>
      </c>
      <c r="B33" s="13" t="s">
        <v>120</v>
      </c>
      <c r="C33" s="12" t="s">
        <v>269</v>
      </c>
      <c r="D33" s="251">
        <f>D28</f>
        <v>367647717.0300001</v>
      </c>
      <c r="E33" s="251">
        <f>SUM(E28)</f>
        <v>243970101.45</v>
      </c>
      <c r="F33" s="251">
        <f>SUM(F28)</f>
        <v>242309598.88</v>
      </c>
      <c r="G33" s="104">
        <v>364571460.24</v>
      </c>
      <c r="H33" s="104">
        <v>243970101.45</v>
      </c>
      <c r="I33" s="104">
        <v>242309598.88</v>
      </c>
    </row>
    <row r="34" spans="1:9" ht="32.25" thickBot="1">
      <c r="A34" s="13" t="s">
        <v>110</v>
      </c>
      <c r="B34" s="13" t="s">
        <v>121</v>
      </c>
      <c r="C34" s="12" t="s">
        <v>83</v>
      </c>
      <c r="D34" s="251">
        <f>D28</f>
        <v>367647717.0300001</v>
      </c>
      <c r="E34" s="251">
        <f>SUM(E28)</f>
        <v>243970101.45</v>
      </c>
      <c r="F34" s="251">
        <f>SUM(F28)</f>
        <v>242309598.88</v>
      </c>
      <c r="G34" s="104">
        <v>364571460.24</v>
      </c>
      <c r="H34" s="104">
        <v>243970101.45</v>
      </c>
      <c r="I34" s="104">
        <v>242309598.88</v>
      </c>
    </row>
    <row r="38" ht="15">
      <c r="E38" s="409"/>
    </row>
    <row r="39" ht="15">
      <c r="F39" s="504"/>
    </row>
    <row r="40" ht="15">
      <c r="G40" s="234"/>
    </row>
    <row r="41" ht="15">
      <c r="E41" s="510"/>
    </row>
    <row r="42" ht="15">
      <c r="E42" s="510"/>
    </row>
    <row r="43" spans="5:7" ht="15">
      <c r="E43" s="510"/>
      <c r="G43" s="234">
        <f>D12-G12</f>
        <v>3548921.8100001216</v>
      </c>
    </row>
    <row r="45" ht="15">
      <c r="E45" s="510"/>
    </row>
    <row r="46" ht="15">
      <c r="E46" s="510"/>
    </row>
    <row r="47" ht="15">
      <c r="E47" s="510"/>
    </row>
    <row r="48" ht="15">
      <c r="E48" s="510"/>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N337"/>
  <sheetViews>
    <sheetView view="pageBreakPreview" zoomScale="60" zoomScaleNormal="80" workbookViewId="0" topLeftCell="A321">
      <selection activeCell="N329" sqref="N329"/>
    </sheetView>
  </sheetViews>
  <sheetFormatPr defaultColWidth="9.140625" defaultRowHeight="12.75"/>
  <cols>
    <col min="1" max="1" width="70.00390625" style="104" customWidth="1"/>
    <col min="2" max="2" width="16.140625" style="104" customWidth="1"/>
    <col min="3" max="3" width="11.57421875" style="104" customWidth="1"/>
    <col min="4" max="4" width="0.5625" style="104" hidden="1" customWidth="1"/>
    <col min="5" max="5" width="16.57421875" style="104" hidden="1" customWidth="1"/>
    <col min="6" max="6" width="19.421875" style="412" customWidth="1"/>
    <col min="7" max="7" width="17.140625" style="217" hidden="1" customWidth="1"/>
    <col min="8" max="8" width="16.7109375" style="104" hidden="1" customWidth="1"/>
    <col min="9" max="9" width="17.8515625" style="104" hidden="1" customWidth="1"/>
    <col min="10" max="10" width="22.8515625" style="233" hidden="1" customWidth="1"/>
    <col min="11" max="11" width="42.140625" style="104" hidden="1" customWidth="1"/>
    <col min="12" max="12" width="20.57421875" style="104" hidden="1" customWidth="1"/>
    <col min="13" max="13" width="9.140625" style="104" customWidth="1"/>
    <col min="14" max="14" width="50.57421875" style="104" customWidth="1"/>
    <col min="15" max="16384" width="9.140625" style="104" customWidth="1"/>
  </cols>
  <sheetData>
    <row r="1" spans="1:7" ht="12.75" customHeight="1">
      <c r="A1" s="528" t="s">
        <v>151</v>
      </c>
      <c r="B1" s="528"/>
      <c r="C1" s="528"/>
      <c r="D1" s="528"/>
      <c r="E1" s="528"/>
      <c r="F1" s="528"/>
      <c r="G1" s="216"/>
    </row>
    <row r="2" spans="1:7" ht="12.75" customHeight="1">
      <c r="A2" s="528" t="s">
        <v>109</v>
      </c>
      <c r="B2" s="528"/>
      <c r="C2" s="528"/>
      <c r="D2" s="528"/>
      <c r="E2" s="528"/>
      <c r="F2" s="528"/>
      <c r="G2" s="216"/>
    </row>
    <row r="3" spans="1:7" ht="15.75">
      <c r="A3" s="528" t="s">
        <v>1519</v>
      </c>
      <c r="B3" s="528"/>
      <c r="C3" s="528"/>
      <c r="D3" s="528"/>
      <c r="E3" s="528"/>
      <c r="F3" s="528"/>
      <c r="G3" s="216"/>
    </row>
    <row r="4" ht="15">
      <c r="B4" s="2"/>
    </row>
    <row r="5" spans="1:7" ht="93.75" customHeight="1">
      <c r="A5" s="529" t="s">
        <v>1471</v>
      </c>
      <c r="B5" s="529"/>
      <c r="C5" s="529"/>
      <c r="D5" s="529"/>
      <c r="E5" s="529"/>
      <c r="F5" s="529"/>
      <c r="G5" s="216"/>
    </row>
    <row r="6" spans="1:7" ht="15.75">
      <c r="A6" s="513"/>
      <c r="B6" s="513"/>
      <c r="C6" s="513"/>
      <c r="D6" s="513"/>
      <c r="E6" s="513"/>
      <c r="F6" s="513"/>
      <c r="G6" s="216"/>
    </row>
    <row r="7" spans="1:2" ht="12.75">
      <c r="A7" s="4"/>
      <c r="B7" s="130"/>
    </row>
    <row r="8" spans="1:7" ht="37.5" customHeight="1">
      <c r="A8" s="545" t="s">
        <v>154</v>
      </c>
      <c r="B8" s="545" t="s">
        <v>303</v>
      </c>
      <c r="C8" s="545" t="s">
        <v>309</v>
      </c>
      <c r="D8" s="545" t="s">
        <v>1479</v>
      </c>
      <c r="E8" s="545"/>
      <c r="F8" s="545"/>
      <c r="G8" s="216"/>
    </row>
    <row r="9" spans="1:10" ht="30" customHeight="1">
      <c r="A9" s="545"/>
      <c r="B9" s="545"/>
      <c r="C9" s="545"/>
      <c r="D9" s="150" t="s">
        <v>220</v>
      </c>
      <c r="E9" s="150" t="s">
        <v>605</v>
      </c>
      <c r="F9" s="413" t="s">
        <v>221</v>
      </c>
      <c r="G9" s="218" t="s">
        <v>1320</v>
      </c>
      <c r="J9" s="233" t="s">
        <v>221</v>
      </c>
    </row>
    <row r="10" spans="1:10" ht="16.5" customHeight="1">
      <c r="A10" s="151">
        <v>1</v>
      </c>
      <c r="B10" s="151">
        <v>2</v>
      </c>
      <c r="C10" s="151">
        <v>3</v>
      </c>
      <c r="D10" s="151">
        <v>4</v>
      </c>
      <c r="E10" s="151">
        <v>4</v>
      </c>
      <c r="F10" s="151">
        <v>5</v>
      </c>
      <c r="G10" s="219">
        <v>5</v>
      </c>
      <c r="J10" s="233">
        <v>5</v>
      </c>
    </row>
    <row r="11" spans="1:12" ht="47.25">
      <c r="A11" s="120" t="s">
        <v>640</v>
      </c>
      <c r="B11" s="22" t="s">
        <v>330</v>
      </c>
      <c r="C11" s="102"/>
      <c r="D11" s="124">
        <f>D12</f>
        <v>-816000</v>
      </c>
      <c r="E11" s="124">
        <f>E12</f>
        <v>0</v>
      </c>
      <c r="F11" s="124">
        <f>F12+F15</f>
        <v>999596.66</v>
      </c>
      <c r="G11" s="220">
        <f>G12+G15</f>
        <v>998827.09</v>
      </c>
      <c r="I11" s="233">
        <v>1189309.5</v>
      </c>
      <c r="J11" s="233">
        <v>999596.66</v>
      </c>
      <c r="K11" s="234">
        <f aca="true" t="shared" si="0" ref="K11:K28">J11+E11</f>
        <v>999596.66</v>
      </c>
      <c r="L11" s="234"/>
    </row>
    <row r="12" spans="1:12" ht="30" customHeight="1">
      <c r="A12" s="107" t="s">
        <v>1265</v>
      </c>
      <c r="B12" s="19" t="s">
        <v>331</v>
      </c>
      <c r="C12" s="57"/>
      <c r="D12" s="80">
        <f>SUM(D14:D17)</f>
        <v>-816000</v>
      </c>
      <c r="E12" s="80">
        <f>E13+E15</f>
        <v>0</v>
      </c>
      <c r="F12" s="80">
        <f>F13</f>
        <v>699596.66</v>
      </c>
      <c r="G12" s="221">
        <f>G13</f>
        <v>698827.09</v>
      </c>
      <c r="I12" s="233">
        <v>843718.79</v>
      </c>
      <c r="J12" s="233">
        <v>699596.66</v>
      </c>
      <c r="K12" s="234">
        <f t="shared" si="0"/>
        <v>699596.66</v>
      </c>
      <c r="L12" s="234"/>
    </row>
    <row r="13" spans="1:12" ht="31.5">
      <c r="A13" s="107" t="s">
        <v>888</v>
      </c>
      <c r="B13" s="19" t="s">
        <v>332</v>
      </c>
      <c r="C13" s="57"/>
      <c r="D13" s="80"/>
      <c r="E13" s="80">
        <f>SUM(E14)</f>
        <v>0</v>
      </c>
      <c r="F13" s="80">
        <f>SUM(F14)</f>
        <v>699596.66</v>
      </c>
      <c r="G13" s="221">
        <f>SUM(G14)</f>
        <v>698827.09</v>
      </c>
      <c r="H13" s="145"/>
      <c r="I13" s="233">
        <v>843718.79</v>
      </c>
      <c r="J13" s="233">
        <v>699596.66</v>
      </c>
      <c r="K13" s="234">
        <f t="shared" si="0"/>
        <v>699596.66</v>
      </c>
      <c r="L13" s="234"/>
    </row>
    <row r="14" spans="1:12" ht="63">
      <c r="A14" s="63" t="s">
        <v>577</v>
      </c>
      <c r="B14" s="20" t="s">
        <v>333</v>
      </c>
      <c r="C14" s="58">
        <v>200</v>
      </c>
      <c r="D14" s="77">
        <v>-360000</v>
      </c>
      <c r="E14" s="77"/>
      <c r="F14" s="169">
        <v>699596.66</v>
      </c>
      <c r="G14" s="222">
        <v>698827.09</v>
      </c>
      <c r="H14" s="115"/>
      <c r="I14" s="233">
        <v>843718.79</v>
      </c>
      <c r="J14" s="233">
        <v>699596.66</v>
      </c>
      <c r="K14" s="234">
        <f t="shared" si="0"/>
        <v>699596.66</v>
      </c>
      <c r="L14" s="234"/>
    </row>
    <row r="15" spans="1:12" ht="31.5">
      <c r="A15" s="107" t="s">
        <v>1266</v>
      </c>
      <c r="B15" s="19" t="s">
        <v>1268</v>
      </c>
      <c r="C15" s="57"/>
      <c r="D15" s="77"/>
      <c r="E15" s="103">
        <f>E17</f>
        <v>0</v>
      </c>
      <c r="F15" s="103">
        <f>F17</f>
        <v>300000</v>
      </c>
      <c r="G15" s="223">
        <f>G17</f>
        <v>300000</v>
      </c>
      <c r="H15" s="115"/>
      <c r="I15" s="233">
        <v>345590.71</v>
      </c>
      <c r="J15" s="233">
        <v>300000</v>
      </c>
      <c r="K15" s="234">
        <f t="shared" si="0"/>
        <v>300000</v>
      </c>
      <c r="L15" s="234"/>
    </row>
    <row r="16" spans="1:12" ht="33.75" customHeight="1">
      <c r="A16" s="107" t="s">
        <v>864</v>
      </c>
      <c r="B16" s="19" t="s">
        <v>1267</v>
      </c>
      <c r="C16" s="57"/>
      <c r="D16" s="80"/>
      <c r="E16" s="80">
        <f>SUM(E17)</f>
        <v>0</v>
      </c>
      <c r="F16" s="80">
        <f>SUM(F17)</f>
        <v>300000</v>
      </c>
      <c r="G16" s="221">
        <f>SUM(G17)</f>
        <v>300000</v>
      </c>
      <c r="H16" s="115"/>
      <c r="I16" s="233">
        <v>345590.71</v>
      </c>
      <c r="J16" s="233">
        <v>300000</v>
      </c>
      <c r="K16" s="234">
        <f t="shared" si="0"/>
        <v>300000</v>
      </c>
      <c r="L16" s="234"/>
    </row>
    <row r="17" spans="1:12" ht="61.5" customHeight="1">
      <c r="A17" s="63" t="s">
        <v>578</v>
      </c>
      <c r="B17" s="20" t="s">
        <v>1269</v>
      </c>
      <c r="C17" s="58">
        <v>200</v>
      </c>
      <c r="D17" s="77">
        <v>-456000</v>
      </c>
      <c r="E17" s="77"/>
      <c r="F17" s="114">
        <v>300000</v>
      </c>
      <c r="G17" s="222">
        <v>300000</v>
      </c>
      <c r="H17" s="115"/>
      <c r="I17" s="233">
        <v>345590.71</v>
      </c>
      <c r="J17" s="233">
        <v>300000</v>
      </c>
      <c r="K17" s="234">
        <f t="shared" si="0"/>
        <v>300000</v>
      </c>
      <c r="L17" s="234"/>
    </row>
    <row r="18" spans="1:12" ht="31.5">
      <c r="A18" s="120" t="s">
        <v>851</v>
      </c>
      <c r="B18" s="117" t="s">
        <v>334</v>
      </c>
      <c r="C18" s="410"/>
      <c r="D18" s="124" t="e">
        <f>D19+D25+#REF!+#REF!+#REF!+#REF!</f>
        <v>#REF!</v>
      </c>
      <c r="E18" s="124">
        <f>E19+E25+E46+E49</f>
        <v>165132.58000000002</v>
      </c>
      <c r="F18" s="124">
        <f>F19+F25+F46+F49</f>
        <v>42235763.970000006</v>
      </c>
      <c r="G18" s="220">
        <f>G19+G25+G46+G49</f>
        <v>40670532.309999995</v>
      </c>
      <c r="H18" s="231">
        <f>F18-E18</f>
        <v>42070631.39000001</v>
      </c>
      <c r="I18" s="233">
        <v>44426248.65</v>
      </c>
      <c r="J18" s="233">
        <v>42070631.39000001</v>
      </c>
      <c r="K18" s="234">
        <f t="shared" si="0"/>
        <v>42235763.970000006</v>
      </c>
      <c r="L18" s="234"/>
    </row>
    <row r="19" spans="1:12" ht="31.5">
      <c r="A19" s="121" t="s">
        <v>335</v>
      </c>
      <c r="B19" s="19" t="s">
        <v>336</v>
      </c>
      <c r="C19" s="57"/>
      <c r="D19" s="80">
        <f>SUM(D21:D21)</f>
        <v>-47100</v>
      </c>
      <c r="E19" s="80">
        <f>E20+E22</f>
        <v>0</v>
      </c>
      <c r="F19" s="80">
        <f>F20+F22</f>
        <v>1354601.12</v>
      </c>
      <c r="G19" s="221">
        <f>G20+G22</f>
        <v>1370453.76</v>
      </c>
      <c r="H19" s="231"/>
      <c r="I19" s="233">
        <v>1370453.76</v>
      </c>
      <c r="J19" s="233">
        <v>1354601.12</v>
      </c>
      <c r="K19" s="234">
        <f t="shared" si="0"/>
        <v>1354601.12</v>
      </c>
      <c r="L19" s="234"/>
    </row>
    <row r="20" spans="1:12" ht="31.5">
      <c r="A20" s="121" t="s">
        <v>337</v>
      </c>
      <c r="B20" s="19" t="s">
        <v>338</v>
      </c>
      <c r="C20" s="57"/>
      <c r="D20" s="80"/>
      <c r="E20" s="80">
        <f>SUM(E21:E21)</f>
        <v>0</v>
      </c>
      <c r="F20" s="80">
        <f>SUM(F21:F21)</f>
        <v>83000</v>
      </c>
      <c r="G20" s="221">
        <f>SUM(G21:G21)</f>
        <v>115900</v>
      </c>
      <c r="H20" s="231"/>
      <c r="I20" s="233">
        <v>115900</v>
      </c>
      <c r="J20" s="233">
        <v>83000</v>
      </c>
      <c r="K20" s="234">
        <f t="shared" si="0"/>
        <v>83000</v>
      </c>
      <c r="L20" s="234"/>
    </row>
    <row r="21" spans="1:12" ht="96" customHeight="1">
      <c r="A21" s="60" t="s">
        <v>916</v>
      </c>
      <c r="B21" s="20" t="s">
        <v>339</v>
      </c>
      <c r="C21" s="58">
        <v>200</v>
      </c>
      <c r="D21" s="77">
        <v>-47100</v>
      </c>
      <c r="E21" s="77"/>
      <c r="F21" s="169">
        <v>83000</v>
      </c>
      <c r="G21" s="222">
        <f>145900-30000</f>
        <v>115900</v>
      </c>
      <c r="H21" s="231"/>
      <c r="I21" s="233">
        <v>115900</v>
      </c>
      <c r="J21" s="233">
        <v>83000</v>
      </c>
      <c r="K21" s="234">
        <f t="shared" si="0"/>
        <v>83000</v>
      </c>
      <c r="L21" s="234"/>
    </row>
    <row r="22" spans="1:12" ht="31.5">
      <c r="A22" s="153" t="s">
        <v>1407</v>
      </c>
      <c r="B22" s="101" t="s">
        <v>865</v>
      </c>
      <c r="C22" s="102"/>
      <c r="D22" s="103"/>
      <c r="E22" s="103">
        <f>SUM(E23:E24)</f>
        <v>0</v>
      </c>
      <c r="F22" s="103">
        <f>SUM(F23:F24)</f>
        <v>1271601.12</v>
      </c>
      <c r="G22" s="223">
        <f>SUM(G23:G24)</f>
        <v>1254553.76</v>
      </c>
      <c r="H22" s="231"/>
      <c r="I22" s="233">
        <v>1254553.76</v>
      </c>
      <c r="J22" s="233">
        <v>1271601.12</v>
      </c>
      <c r="K22" s="234">
        <f t="shared" si="0"/>
        <v>1271601.12</v>
      </c>
      <c r="L22" s="234"/>
    </row>
    <row r="23" spans="1:12" ht="63">
      <c r="A23" s="59" t="s">
        <v>597</v>
      </c>
      <c r="B23" s="20" t="s">
        <v>866</v>
      </c>
      <c r="C23" s="58">
        <v>200</v>
      </c>
      <c r="D23" s="77"/>
      <c r="E23" s="77"/>
      <c r="F23" s="114">
        <v>16265.04</v>
      </c>
      <c r="G23" s="222">
        <v>18540.2</v>
      </c>
      <c r="H23" s="231"/>
      <c r="I23" s="233">
        <v>18540.2</v>
      </c>
      <c r="J23" s="233">
        <v>16265.04</v>
      </c>
      <c r="K23" s="234">
        <f t="shared" si="0"/>
        <v>16265.04</v>
      </c>
      <c r="L23" s="234"/>
    </row>
    <row r="24" spans="1:12" ht="63">
      <c r="A24" s="59" t="s">
        <v>460</v>
      </c>
      <c r="B24" s="20" t="s">
        <v>866</v>
      </c>
      <c r="C24" s="58">
        <v>300</v>
      </c>
      <c r="D24" s="77">
        <v>30000</v>
      </c>
      <c r="E24" s="77"/>
      <c r="F24" s="169">
        <v>1255336.08</v>
      </c>
      <c r="G24" s="222">
        <v>1236013.56</v>
      </c>
      <c r="H24" s="231"/>
      <c r="I24" s="233">
        <v>1236013.56</v>
      </c>
      <c r="J24" s="233">
        <v>1255336.08</v>
      </c>
      <c r="K24" s="234">
        <f t="shared" si="0"/>
        <v>1255336.08</v>
      </c>
      <c r="L24" s="234"/>
    </row>
    <row r="25" spans="1:12" ht="31.5">
      <c r="A25" s="121" t="s">
        <v>340</v>
      </c>
      <c r="B25" s="19" t="s">
        <v>341</v>
      </c>
      <c r="C25" s="57"/>
      <c r="D25" s="80" t="e">
        <f>SUM(D29:D298)</f>
        <v>#REF!</v>
      </c>
      <c r="E25" s="80">
        <f>E26+E28+E44</f>
        <v>120132.58</v>
      </c>
      <c r="F25" s="80">
        <f>F26+F28+F44</f>
        <v>33030231.26</v>
      </c>
      <c r="G25" s="221">
        <f>G26+G28+G44</f>
        <v>31222640.559999995</v>
      </c>
      <c r="H25" s="231">
        <f>F25-E25</f>
        <v>32910098.680000003</v>
      </c>
      <c r="I25" s="233">
        <v>31366738.559999995</v>
      </c>
      <c r="J25" s="233">
        <v>32910098.680000003</v>
      </c>
      <c r="K25" s="234">
        <f t="shared" si="0"/>
        <v>33030231.26</v>
      </c>
      <c r="L25" s="234"/>
    </row>
    <row r="26" spans="1:12" ht="47.25">
      <c r="A26" s="121" t="s">
        <v>342</v>
      </c>
      <c r="B26" s="19" t="s">
        <v>343</v>
      </c>
      <c r="C26" s="57"/>
      <c r="D26" s="80"/>
      <c r="E26" s="80">
        <f>E27</f>
        <v>0</v>
      </c>
      <c r="F26" s="80">
        <f>F27</f>
        <v>1782910.48</v>
      </c>
      <c r="G26" s="221">
        <f>G27</f>
        <v>1298844</v>
      </c>
      <c r="H26" s="231"/>
      <c r="I26" s="233">
        <v>1298844</v>
      </c>
      <c r="J26" s="233">
        <v>1782910.48</v>
      </c>
      <c r="K26" s="234">
        <f t="shared" si="0"/>
        <v>1782910.48</v>
      </c>
      <c r="L26" s="234"/>
    </row>
    <row r="27" spans="1:12" ht="78.75">
      <c r="A27" s="59" t="s">
        <v>344</v>
      </c>
      <c r="B27" s="20" t="s">
        <v>345</v>
      </c>
      <c r="C27" s="58">
        <v>100</v>
      </c>
      <c r="D27" s="77">
        <v>1001205</v>
      </c>
      <c r="E27" s="77"/>
      <c r="F27" s="429">
        <f>1039476+313922+429512.48</f>
        <v>1782910.48</v>
      </c>
      <c r="G27" s="222">
        <v>1298844</v>
      </c>
      <c r="H27" s="231"/>
      <c r="I27" s="233">
        <v>1298844</v>
      </c>
      <c r="J27" s="233">
        <v>1782910.48</v>
      </c>
      <c r="K27" s="234">
        <f t="shared" si="0"/>
        <v>1782910.48</v>
      </c>
      <c r="L27" s="234"/>
    </row>
    <row r="28" spans="1:12" ht="78.75">
      <c r="A28" s="154" t="s">
        <v>952</v>
      </c>
      <c r="B28" s="101" t="s">
        <v>346</v>
      </c>
      <c r="C28" s="102"/>
      <c r="D28" s="103"/>
      <c r="E28" s="103">
        <f>SUM(E29:E43)</f>
        <v>120132.58</v>
      </c>
      <c r="F28" s="103">
        <f>SUM(F29:F43)</f>
        <v>30620056.78</v>
      </c>
      <c r="G28" s="223">
        <f>SUM(G29:G43)</f>
        <v>29360922.159999996</v>
      </c>
      <c r="H28" s="231">
        <f>F28-E28</f>
        <v>30499924.200000003</v>
      </c>
      <c r="I28" s="233">
        <v>29505020.159999996</v>
      </c>
      <c r="J28" s="233">
        <v>30499924.200000003</v>
      </c>
      <c r="K28" s="234">
        <f t="shared" si="0"/>
        <v>30620056.78</v>
      </c>
      <c r="L28" s="234"/>
    </row>
    <row r="29" spans="1:12" ht="81" customHeight="1">
      <c r="A29" s="59" t="s">
        <v>735</v>
      </c>
      <c r="B29" s="20" t="s">
        <v>348</v>
      </c>
      <c r="C29" s="58">
        <v>100</v>
      </c>
      <c r="D29" s="77">
        <v>15078984</v>
      </c>
      <c r="E29" s="77">
        <v>120132.58</v>
      </c>
      <c r="F29" s="169">
        <v>20527161.28</v>
      </c>
      <c r="G29" s="222">
        <v>19682854.39</v>
      </c>
      <c r="I29" s="233">
        <v>19682854.39</v>
      </c>
      <c r="J29" s="233">
        <v>20407028.700000003</v>
      </c>
      <c r="K29" s="234">
        <f>J29+E29</f>
        <v>20527161.28</v>
      </c>
      <c r="L29" s="234"/>
    </row>
    <row r="30" spans="1:12" ht="47.25">
      <c r="A30" s="59" t="s">
        <v>579</v>
      </c>
      <c r="B30" s="20" t="s">
        <v>348</v>
      </c>
      <c r="C30" s="58">
        <v>200</v>
      </c>
      <c r="D30" s="77">
        <v>5279911</v>
      </c>
      <c r="E30" s="77"/>
      <c r="F30" s="114">
        <v>1754400.49</v>
      </c>
      <c r="G30" s="222">
        <f>1585184.56+21324.95-154.85</f>
        <v>1606354.66</v>
      </c>
      <c r="I30" s="233">
        <v>1606354.66</v>
      </c>
      <c r="J30" s="233">
        <v>1754400.49</v>
      </c>
      <c r="K30" s="234">
        <f aca="true" t="shared" si="1" ref="K30:K59">J30+E30</f>
        <v>1754400.49</v>
      </c>
      <c r="L30" s="234"/>
    </row>
    <row r="31" spans="1:12" ht="32.25" customHeight="1">
      <c r="A31" s="59" t="s">
        <v>973</v>
      </c>
      <c r="B31" s="20" t="s">
        <v>348</v>
      </c>
      <c r="C31" s="58">
        <v>300</v>
      </c>
      <c r="D31" s="77"/>
      <c r="E31" s="77"/>
      <c r="F31" s="114">
        <v>0</v>
      </c>
      <c r="G31" s="222">
        <v>0</v>
      </c>
      <c r="I31" s="233">
        <v>0</v>
      </c>
      <c r="J31" s="233">
        <v>0</v>
      </c>
      <c r="K31" s="234">
        <f t="shared" si="1"/>
        <v>0</v>
      </c>
      <c r="L31" s="234"/>
    </row>
    <row r="32" spans="1:12" ht="31.5">
      <c r="A32" s="59" t="s">
        <v>347</v>
      </c>
      <c r="B32" s="20" t="s">
        <v>348</v>
      </c>
      <c r="C32" s="58">
        <v>800</v>
      </c>
      <c r="D32" s="77">
        <v>257000</v>
      </c>
      <c r="E32" s="77"/>
      <c r="F32" s="169">
        <v>58000</v>
      </c>
      <c r="G32" s="222">
        <v>58000</v>
      </c>
      <c r="I32" s="233">
        <v>58000</v>
      </c>
      <c r="J32" s="233">
        <v>58000</v>
      </c>
      <c r="K32" s="234">
        <f t="shared" si="1"/>
        <v>58000</v>
      </c>
      <c r="L32" s="234"/>
    </row>
    <row r="33" spans="1:12" ht="82.5" customHeight="1">
      <c r="A33" s="59" t="s">
        <v>940</v>
      </c>
      <c r="B33" s="20" t="s">
        <v>548</v>
      </c>
      <c r="C33" s="58">
        <v>100</v>
      </c>
      <c r="D33" s="77"/>
      <c r="E33" s="77"/>
      <c r="F33" s="114">
        <v>509915.28</v>
      </c>
      <c r="G33" s="222">
        <v>489343.68</v>
      </c>
      <c r="I33" s="233">
        <v>489343.68</v>
      </c>
      <c r="J33" s="233">
        <v>509915.28</v>
      </c>
      <c r="K33" s="234">
        <f t="shared" si="1"/>
        <v>509915.28</v>
      </c>
      <c r="L33" s="234"/>
    </row>
    <row r="34" spans="1:12" ht="78.75">
      <c r="A34" s="59" t="s">
        <v>349</v>
      </c>
      <c r="B34" s="20" t="s">
        <v>350</v>
      </c>
      <c r="C34" s="58">
        <v>100</v>
      </c>
      <c r="D34" s="77">
        <v>644418</v>
      </c>
      <c r="E34" s="77"/>
      <c r="F34" s="114">
        <v>247953.91999999998</v>
      </c>
      <c r="G34" s="222">
        <v>237904.56</v>
      </c>
      <c r="I34" s="233">
        <v>237904.56</v>
      </c>
      <c r="J34" s="233">
        <v>247953.91999999998</v>
      </c>
      <c r="K34" s="234">
        <f t="shared" si="1"/>
        <v>247953.91999999998</v>
      </c>
      <c r="L34" s="234"/>
    </row>
    <row r="35" spans="1:12" ht="47.25">
      <c r="A35" s="59" t="s">
        <v>580</v>
      </c>
      <c r="B35" s="20" t="s">
        <v>350</v>
      </c>
      <c r="C35" s="58">
        <v>200</v>
      </c>
      <c r="D35" s="77">
        <v>422600</v>
      </c>
      <c r="E35" s="77"/>
      <c r="F35" s="114">
        <v>520479</v>
      </c>
      <c r="G35" s="222">
        <v>520479</v>
      </c>
      <c r="I35" s="233">
        <v>570479</v>
      </c>
      <c r="J35" s="233">
        <v>520479</v>
      </c>
      <c r="K35" s="234">
        <f t="shared" si="1"/>
        <v>520479</v>
      </c>
      <c r="L35" s="234"/>
    </row>
    <row r="36" spans="1:12" ht="31.5">
      <c r="A36" s="59" t="s">
        <v>906</v>
      </c>
      <c r="B36" s="20" t="s">
        <v>350</v>
      </c>
      <c r="C36" s="58">
        <v>300</v>
      </c>
      <c r="D36" s="77"/>
      <c r="E36" s="77"/>
      <c r="F36" s="114">
        <v>18392</v>
      </c>
      <c r="G36" s="222">
        <v>18130</v>
      </c>
      <c r="I36" s="233">
        <v>18130</v>
      </c>
      <c r="J36" s="233">
        <v>18392</v>
      </c>
      <c r="K36" s="234">
        <f t="shared" si="1"/>
        <v>18392</v>
      </c>
      <c r="L36" s="234"/>
    </row>
    <row r="37" spans="1:12" ht="79.5" customHeight="1">
      <c r="A37" s="59" t="s">
        <v>535</v>
      </c>
      <c r="B37" s="20" t="s">
        <v>352</v>
      </c>
      <c r="C37" s="58">
        <v>100</v>
      </c>
      <c r="D37" s="77">
        <v>3118930</v>
      </c>
      <c r="E37" s="77"/>
      <c r="F37" s="169">
        <f>4278731.61+180013.49</f>
        <v>4458745.100000001</v>
      </c>
      <c r="G37" s="222">
        <v>4278731.61</v>
      </c>
      <c r="H37" s="114">
        <v>4278731.61</v>
      </c>
      <c r="I37" s="233">
        <v>4280731.61</v>
      </c>
      <c r="J37" s="233">
        <v>4458745.100000001</v>
      </c>
      <c r="K37" s="234">
        <f t="shared" si="1"/>
        <v>4458745.100000001</v>
      </c>
      <c r="L37" s="234"/>
    </row>
    <row r="38" spans="1:12" ht="47.25">
      <c r="A38" s="59" t="s">
        <v>581</v>
      </c>
      <c r="B38" s="20" t="s">
        <v>352</v>
      </c>
      <c r="C38" s="58">
        <v>200</v>
      </c>
      <c r="D38" s="77">
        <v>266570</v>
      </c>
      <c r="E38" s="77"/>
      <c r="F38" s="114">
        <v>784950.65</v>
      </c>
      <c r="G38" s="222">
        <v>773450.65</v>
      </c>
      <c r="H38" s="114">
        <v>773450.65</v>
      </c>
      <c r="I38" s="233">
        <v>865548.65</v>
      </c>
      <c r="J38" s="233">
        <v>784950.65</v>
      </c>
      <c r="K38" s="234">
        <f t="shared" si="1"/>
        <v>784950.65</v>
      </c>
      <c r="L38" s="234"/>
    </row>
    <row r="39" spans="1:12" ht="36.75" customHeight="1">
      <c r="A39" s="59" t="s">
        <v>351</v>
      </c>
      <c r="B39" s="112" t="s">
        <v>352</v>
      </c>
      <c r="C39" s="113">
        <v>800</v>
      </c>
      <c r="D39" s="77"/>
      <c r="E39" s="77"/>
      <c r="F39" s="114">
        <v>0</v>
      </c>
      <c r="G39" s="222"/>
      <c r="H39" s="145"/>
      <c r="I39" s="233"/>
      <c r="J39" s="233">
        <v>0</v>
      </c>
      <c r="K39" s="234">
        <f t="shared" si="1"/>
        <v>0</v>
      </c>
      <c r="L39" s="234"/>
    </row>
    <row r="40" spans="1:12" ht="82.5" customHeight="1">
      <c r="A40" s="59" t="s">
        <v>555</v>
      </c>
      <c r="B40" s="20" t="s">
        <v>354</v>
      </c>
      <c r="C40" s="58">
        <v>100</v>
      </c>
      <c r="D40" s="77">
        <v>1400000</v>
      </c>
      <c r="E40" s="77"/>
      <c r="F40" s="183">
        <f>920647.2+278035.46</f>
        <v>1198682.66</v>
      </c>
      <c r="G40" s="224">
        <v>1150297.21</v>
      </c>
      <c r="I40" s="233">
        <v>1150297.21</v>
      </c>
      <c r="J40" s="233">
        <v>1198682.66</v>
      </c>
      <c r="K40" s="234">
        <f t="shared" si="1"/>
        <v>1198682.66</v>
      </c>
      <c r="L40" s="234"/>
    </row>
    <row r="41" spans="1:12" ht="47.25">
      <c r="A41" s="59" t="s">
        <v>582</v>
      </c>
      <c r="B41" s="20" t="s">
        <v>354</v>
      </c>
      <c r="C41" s="58">
        <v>200</v>
      </c>
      <c r="D41" s="77"/>
      <c r="E41" s="77"/>
      <c r="F41" s="408">
        <f>500+4000+5000+210966.4+16110</f>
        <v>236576.4</v>
      </c>
      <c r="G41" s="224">
        <v>239576.4</v>
      </c>
      <c r="I41" s="233">
        <v>239576.4</v>
      </c>
      <c r="J41" s="233">
        <v>236576.4</v>
      </c>
      <c r="K41" s="234">
        <f t="shared" si="1"/>
        <v>236576.4</v>
      </c>
      <c r="L41" s="234"/>
    </row>
    <row r="42" spans="1:12" ht="49.5" customHeight="1">
      <c r="A42" s="156" t="s">
        <v>606</v>
      </c>
      <c r="B42" s="20" t="s">
        <v>1225</v>
      </c>
      <c r="C42" s="58">
        <v>300</v>
      </c>
      <c r="D42" s="77"/>
      <c r="E42" s="77"/>
      <c r="F42" s="169">
        <v>9000</v>
      </c>
      <c r="G42" s="222">
        <v>9000</v>
      </c>
      <c r="I42" s="233">
        <v>9000</v>
      </c>
      <c r="J42" s="233">
        <v>9000</v>
      </c>
      <c r="K42" s="234">
        <f t="shared" si="1"/>
        <v>9000</v>
      </c>
      <c r="L42" s="234"/>
    </row>
    <row r="43" spans="1:12" ht="47.25" customHeight="1">
      <c r="A43" s="59" t="s">
        <v>584</v>
      </c>
      <c r="B43" s="20" t="s">
        <v>356</v>
      </c>
      <c r="C43" s="58">
        <v>200</v>
      </c>
      <c r="D43" s="77">
        <v>302040</v>
      </c>
      <c r="E43" s="77"/>
      <c r="F43" s="169">
        <v>295800</v>
      </c>
      <c r="G43" s="222">
        <v>296800</v>
      </c>
      <c r="I43" s="233">
        <v>296800</v>
      </c>
      <c r="J43" s="233">
        <v>295800</v>
      </c>
      <c r="K43" s="234">
        <f t="shared" si="1"/>
        <v>295800</v>
      </c>
      <c r="L43" s="234"/>
    </row>
    <row r="44" spans="1:12" ht="15.75">
      <c r="A44" s="154" t="s">
        <v>357</v>
      </c>
      <c r="B44" s="101" t="s">
        <v>358</v>
      </c>
      <c r="C44" s="102"/>
      <c r="D44" s="103"/>
      <c r="E44" s="103">
        <f>E45</f>
        <v>0</v>
      </c>
      <c r="F44" s="103">
        <f>F45</f>
        <v>627264</v>
      </c>
      <c r="G44" s="223">
        <f>G45</f>
        <v>562874.4</v>
      </c>
      <c r="I44" s="233">
        <v>562874.4</v>
      </c>
      <c r="J44" s="233">
        <v>627264</v>
      </c>
      <c r="K44" s="234">
        <f t="shared" si="1"/>
        <v>627264</v>
      </c>
      <c r="L44" s="234"/>
    </row>
    <row r="45" spans="1:12" ht="63">
      <c r="A45" s="59" t="s">
        <v>585</v>
      </c>
      <c r="B45" s="20" t="s">
        <v>359</v>
      </c>
      <c r="C45" s="58">
        <v>200</v>
      </c>
      <c r="D45" s="77">
        <v>400000</v>
      </c>
      <c r="E45" s="77"/>
      <c r="F45" s="114">
        <v>627264</v>
      </c>
      <c r="G45" s="222">
        <v>562874.4</v>
      </c>
      <c r="I45" s="233">
        <v>562874.4</v>
      </c>
      <c r="J45" s="233">
        <v>627264</v>
      </c>
      <c r="K45" s="234">
        <f t="shared" si="1"/>
        <v>627264</v>
      </c>
      <c r="L45" s="234"/>
    </row>
    <row r="46" spans="1:12" ht="31.5">
      <c r="A46" s="154" t="s">
        <v>360</v>
      </c>
      <c r="B46" s="101" t="s">
        <v>362</v>
      </c>
      <c r="C46" s="102"/>
      <c r="D46" s="103"/>
      <c r="E46" s="103">
        <f aca="true" t="shared" si="2" ref="E46:G47">E47</f>
        <v>0</v>
      </c>
      <c r="F46" s="103">
        <f t="shared" si="2"/>
        <v>305386.45</v>
      </c>
      <c r="G46" s="223">
        <f t="shared" si="2"/>
        <v>292660.23</v>
      </c>
      <c r="H46" s="145">
        <f>F46-E46</f>
        <v>305386.45</v>
      </c>
      <c r="I46" s="233">
        <v>292970.57</v>
      </c>
      <c r="J46" s="233">
        <v>305386.45</v>
      </c>
      <c r="K46" s="234">
        <f t="shared" si="1"/>
        <v>305386.45</v>
      </c>
      <c r="L46" s="234"/>
    </row>
    <row r="47" spans="1:12" ht="47.25" customHeight="1">
      <c r="A47" s="154" t="s">
        <v>361</v>
      </c>
      <c r="B47" s="101" t="s">
        <v>363</v>
      </c>
      <c r="C47" s="102"/>
      <c r="D47" s="103"/>
      <c r="E47" s="103">
        <f t="shared" si="2"/>
        <v>0</v>
      </c>
      <c r="F47" s="103">
        <f t="shared" si="2"/>
        <v>305386.45</v>
      </c>
      <c r="G47" s="223">
        <f t="shared" si="2"/>
        <v>292660.23</v>
      </c>
      <c r="H47" s="145">
        <f>F47-E47</f>
        <v>305386.45</v>
      </c>
      <c r="I47" s="233">
        <v>292970.57</v>
      </c>
      <c r="J47" s="233">
        <v>305386.45</v>
      </c>
      <c r="K47" s="234">
        <f t="shared" si="1"/>
        <v>305386.45</v>
      </c>
      <c r="L47" s="234"/>
    </row>
    <row r="48" spans="1:12" ht="81" customHeight="1">
      <c r="A48" s="59" t="s">
        <v>956</v>
      </c>
      <c r="B48" s="20" t="s">
        <v>364</v>
      </c>
      <c r="C48" s="58">
        <v>200</v>
      </c>
      <c r="D48" s="77"/>
      <c r="E48" s="77"/>
      <c r="F48" s="169">
        <v>305386.45</v>
      </c>
      <c r="G48" s="222">
        <v>292660.23</v>
      </c>
      <c r="H48" s="114">
        <v>292660.23</v>
      </c>
      <c r="I48" s="233">
        <v>292970.57</v>
      </c>
      <c r="J48" s="233">
        <v>305386.45</v>
      </c>
      <c r="K48" s="234">
        <f t="shared" si="1"/>
        <v>305386.45</v>
      </c>
      <c r="L48" s="234"/>
    </row>
    <row r="49" spans="1:12" ht="31.5">
      <c r="A49" s="154" t="s">
        <v>1408</v>
      </c>
      <c r="B49" s="101" t="s">
        <v>867</v>
      </c>
      <c r="C49" s="102"/>
      <c r="D49" s="77"/>
      <c r="E49" s="103">
        <f>E50</f>
        <v>45000</v>
      </c>
      <c r="F49" s="103">
        <f>F50</f>
        <v>7545545.140000001</v>
      </c>
      <c r="G49" s="223">
        <f>G50</f>
        <v>7784777.76</v>
      </c>
      <c r="H49" s="145">
        <f>F49-E49</f>
        <v>7500545.140000001</v>
      </c>
      <c r="I49" s="233">
        <v>11396085.76</v>
      </c>
      <c r="J49" s="233">
        <v>7500545.140000001</v>
      </c>
      <c r="K49" s="234">
        <f t="shared" si="1"/>
        <v>7545545.140000001</v>
      </c>
      <c r="L49" s="234"/>
    </row>
    <row r="50" spans="1:12" ht="31.5">
      <c r="A50" s="154" t="s">
        <v>968</v>
      </c>
      <c r="B50" s="101" t="s">
        <v>868</v>
      </c>
      <c r="C50" s="102"/>
      <c r="D50" s="77"/>
      <c r="E50" s="103">
        <f>SUM(E51:E53)</f>
        <v>45000</v>
      </c>
      <c r="F50" s="103">
        <f>SUM(F51:F53)</f>
        <v>7545545.140000001</v>
      </c>
      <c r="G50" s="223">
        <f>SUM(G51:G53)</f>
        <v>7784777.76</v>
      </c>
      <c r="H50" s="145">
        <f>F50-E50</f>
        <v>7500545.140000001</v>
      </c>
      <c r="I50" s="233">
        <v>11396085.76</v>
      </c>
      <c r="J50" s="233">
        <v>7500545.140000001</v>
      </c>
      <c r="K50" s="234">
        <f t="shared" si="1"/>
        <v>7545545.140000001</v>
      </c>
      <c r="L50" s="234"/>
    </row>
    <row r="51" spans="1:12" ht="94.5">
      <c r="A51" s="189" t="s">
        <v>931</v>
      </c>
      <c r="B51" s="112" t="s">
        <v>869</v>
      </c>
      <c r="C51" s="113">
        <v>100</v>
      </c>
      <c r="D51" s="114"/>
      <c r="E51" s="114"/>
      <c r="F51" s="114">
        <f>3899341+24998</f>
        <v>3924339</v>
      </c>
      <c r="G51" s="222">
        <v>3756619</v>
      </c>
      <c r="H51" s="234"/>
      <c r="I51" s="233">
        <v>3756619</v>
      </c>
      <c r="J51" s="233">
        <v>3924339</v>
      </c>
      <c r="K51" s="234">
        <f t="shared" si="1"/>
        <v>3924339</v>
      </c>
      <c r="L51" s="234"/>
    </row>
    <row r="52" spans="1:12" ht="47.25">
      <c r="A52" s="105" t="s">
        <v>929</v>
      </c>
      <c r="B52" s="21" t="s">
        <v>869</v>
      </c>
      <c r="C52" s="58">
        <v>200</v>
      </c>
      <c r="D52" s="77"/>
      <c r="E52" s="77">
        <v>45000</v>
      </c>
      <c r="F52" s="114">
        <v>3489781.14</v>
      </c>
      <c r="G52" s="222">
        <v>3895158.76</v>
      </c>
      <c r="H52" s="233">
        <v>3895158.76</v>
      </c>
      <c r="I52" s="233">
        <v>7506466.76</v>
      </c>
      <c r="J52" s="233">
        <v>3444781.14</v>
      </c>
      <c r="K52" s="234">
        <f t="shared" si="1"/>
        <v>3489781.14</v>
      </c>
      <c r="L52" s="234"/>
    </row>
    <row r="53" spans="1:12" ht="31.5">
      <c r="A53" s="105" t="s">
        <v>930</v>
      </c>
      <c r="B53" s="21" t="s">
        <v>869</v>
      </c>
      <c r="C53" s="58">
        <v>800</v>
      </c>
      <c r="D53" s="77"/>
      <c r="E53" s="77"/>
      <c r="F53" s="114">
        <v>131425</v>
      </c>
      <c r="G53" s="222">
        <v>133000</v>
      </c>
      <c r="I53" s="233">
        <v>133000</v>
      </c>
      <c r="J53" s="233">
        <v>131425</v>
      </c>
      <c r="K53" s="234">
        <f t="shared" si="1"/>
        <v>131425</v>
      </c>
      <c r="L53" s="234"/>
    </row>
    <row r="54" spans="1:12" ht="31.5">
      <c r="A54" s="264" t="s">
        <v>641</v>
      </c>
      <c r="B54" s="22" t="s">
        <v>367</v>
      </c>
      <c r="C54" s="152"/>
      <c r="D54" s="124">
        <f>D55</f>
        <v>-1714607.6</v>
      </c>
      <c r="E54" s="124">
        <f>E55+E64+E67</f>
        <v>0</v>
      </c>
      <c r="F54" s="124">
        <f>F55+F64+F67</f>
        <v>17293870.47</v>
      </c>
      <c r="G54" s="220">
        <f>G55+G64+G67</f>
        <v>8810405.3</v>
      </c>
      <c r="I54" s="233">
        <v>17058919.47</v>
      </c>
      <c r="J54" s="233">
        <v>17293870.47</v>
      </c>
      <c r="K54" s="234">
        <f t="shared" si="1"/>
        <v>17293870.47</v>
      </c>
      <c r="L54" s="234"/>
    </row>
    <row r="55" spans="1:12" ht="34.5" customHeight="1">
      <c r="A55" s="153" t="s">
        <v>872</v>
      </c>
      <c r="B55" s="19" t="s">
        <v>368</v>
      </c>
      <c r="C55" s="57"/>
      <c r="D55" s="80">
        <f>SUM(D57:D61)</f>
        <v>-1714607.6</v>
      </c>
      <c r="E55" s="80">
        <f>E56</f>
        <v>0</v>
      </c>
      <c r="F55" s="80">
        <f>F56</f>
        <v>17223870.47</v>
      </c>
      <c r="G55" s="221">
        <f>G56</f>
        <v>8740405.3</v>
      </c>
      <c r="I55" s="233">
        <v>16988919.47</v>
      </c>
      <c r="J55" s="233">
        <v>17223870.47</v>
      </c>
      <c r="K55" s="234">
        <f t="shared" si="1"/>
        <v>17223870.47</v>
      </c>
      <c r="L55" s="234"/>
    </row>
    <row r="56" spans="1:12" ht="31.5">
      <c r="A56" s="153" t="s">
        <v>871</v>
      </c>
      <c r="B56" s="19" t="s">
        <v>369</v>
      </c>
      <c r="C56" s="57"/>
      <c r="D56" s="80"/>
      <c r="E56" s="80">
        <f>SUM(E57:E63)</f>
        <v>0</v>
      </c>
      <c r="F56" s="80">
        <f>SUM(F57:F63)</f>
        <v>17223870.47</v>
      </c>
      <c r="G56" s="221">
        <f>SUM(G57:G63)</f>
        <v>8740405.3</v>
      </c>
      <c r="I56" s="233">
        <v>16988919.47</v>
      </c>
      <c r="J56" s="233">
        <v>17223870.47</v>
      </c>
      <c r="K56" s="234">
        <f t="shared" si="1"/>
        <v>17223870.47</v>
      </c>
      <c r="L56" s="234"/>
    </row>
    <row r="57" spans="1:12" ht="47.25">
      <c r="A57" s="155" t="s">
        <v>873</v>
      </c>
      <c r="B57" s="20" t="s">
        <v>370</v>
      </c>
      <c r="C57" s="58">
        <v>200</v>
      </c>
      <c r="D57" s="77">
        <v>-1714607.6</v>
      </c>
      <c r="E57" s="77"/>
      <c r="F57" s="114">
        <v>3472834.67</v>
      </c>
      <c r="G57" s="222">
        <f>3105606.06-941354.1</f>
        <v>2164251.96</v>
      </c>
      <c r="I57" s="233">
        <v>2164251.96</v>
      </c>
      <c r="J57" s="233">
        <v>3472834.67</v>
      </c>
      <c r="K57" s="234">
        <f t="shared" si="1"/>
        <v>3472834.67</v>
      </c>
      <c r="L57" s="234"/>
    </row>
    <row r="58" spans="1:12" ht="47.25">
      <c r="A58" s="155" t="s">
        <v>874</v>
      </c>
      <c r="B58" s="20" t="s">
        <v>908</v>
      </c>
      <c r="C58" s="58">
        <v>200</v>
      </c>
      <c r="D58" s="77"/>
      <c r="E58" s="129">
        <v>-55490.23</v>
      </c>
      <c r="F58" s="114">
        <v>2711869.64</v>
      </c>
      <c r="G58" s="222">
        <v>4494799.24</v>
      </c>
      <c r="I58" s="233">
        <v>4494799.24</v>
      </c>
      <c r="J58" s="233">
        <v>2767359.87</v>
      </c>
      <c r="K58" s="234">
        <f t="shared" si="1"/>
        <v>2711869.64</v>
      </c>
      <c r="L58" s="234"/>
    </row>
    <row r="59" spans="1:12" ht="31.5">
      <c r="A59" s="155" t="s">
        <v>889</v>
      </c>
      <c r="B59" s="20" t="s">
        <v>909</v>
      </c>
      <c r="C59" s="58">
        <v>200</v>
      </c>
      <c r="D59" s="77"/>
      <c r="E59" s="77"/>
      <c r="F59" s="114">
        <v>0</v>
      </c>
      <c r="G59" s="222">
        <v>0</v>
      </c>
      <c r="I59" s="233">
        <v>0</v>
      </c>
      <c r="J59" s="233">
        <v>0</v>
      </c>
      <c r="K59" s="234">
        <f t="shared" si="1"/>
        <v>0</v>
      </c>
      <c r="L59" s="234"/>
    </row>
    <row r="60" spans="1:12" ht="69" customHeight="1">
      <c r="A60" s="190" t="s">
        <v>1607</v>
      </c>
      <c r="B60" s="20" t="s">
        <v>910</v>
      </c>
      <c r="C60" s="58">
        <v>200</v>
      </c>
      <c r="D60" s="77"/>
      <c r="E60" s="77">
        <v>55490.23</v>
      </c>
      <c r="F60" s="114">
        <v>195490.23</v>
      </c>
      <c r="G60" s="222">
        <v>140000</v>
      </c>
      <c r="I60" s="233">
        <v>140000</v>
      </c>
      <c r="J60" s="233">
        <v>140000</v>
      </c>
      <c r="K60" s="155" t="s">
        <v>948</v>
      </c>
      <c r="L60" s="234">
        <f>J60+E60</f>
        <v>195490.23</v>
      </c>
    </row>
    <row r="61" spans="1:12" ht="213.75" customHeight="1">
      <c r="A61" s="155" t="s">
        <v>732</v>
      </c>
      <c r="B61" s="20" t="s">
        <v>730</v>
      </c>
      <c r="C61" s="58">
        <v>500</v>
      </c>
      <c r="D61" s="77"/>
      <c r="E61" s="176"/>
      <c r="F61" s="114">
        <v>3176489.1</v>
      </c>
      <c r="G61" s="222">
        <f>1000000+941354.1</f>
        <v>1941354.1</v>
      </c>
      <c r="I61" s="233">
        <v>1941354.1</v>
      </c>
      <c r="J61" s="233">
        <v>3176489.1</v>
      </c>
      <c r="K61" s="234">
        <f>J61+E61</f>
        <v>3176489.1</v>
      </c>
      <c r="L61" s="234"/>
    </row>
    <row r="62" spans="1:12" ht="67.5" customHeight="1">
      <c r="A62" s="156" t="s">
        <v>1383</v>
      </c>
      <c r="B62" s="20" t="s">
        <v>1384</v>
      </c>
      <c r="C62" s="58">
        <v>200</v>
      </c>
      <c r="D62" s="77"/>
      <c r="E62" s="176"/>
      <c r="F62" s="434">
        <v>0</v>
      </c>
      <c r="G62" s="222"/>
      <c r="I62" s="233"/>
      <c r="J62" s="233">
        <v>0</v>
      </c>
      <c r="K62" s="234">
        <f aca="true" t="shared" si="3" ref="K62:K125">J62+E62</f>
        <v>0</v>
      </c>
      <c r="L62" s="234"/>
    </row>
    <row r="63" spans="1:12" ht="100.5" customHeight="1">
      <c r="A63" s="179" t="s">
        <v>1365</v>
      </c>
      <c r="B63" s="112" t="s">
        <v>974</v>
      </c>
      <c r="C63" s="113">
        <v>200</v>
      </c>
      <c r="D63" s="114"/>
      <c r="E63" s="114"/>
      <c r="F63" s="114">
        <f>7667186.83-7590514.96+7590514.96</f>
        <v>7667186.83</v>
      </c>
      <c r="G63" s="224"/>
      <c r="I63" s="155">
        <v>7899281.67</v>
      </c>
      <c r="J63" s="233">
        <v>7667186.83</v>
      </c>
      <c r="K63" s="234">
        <f t="shared" si="3"/>
        <v>7667186.83</v>
      </c>
      <c r="L63" s="234"/>
    </row>
    <row r="64" spans="1:12" ht="31.5">
      <c r="A64" s="153" t="s">
        <v>1309</v>
      </c>
      <c r="B64" s="101" t="s">
        <v>616</v>
      </c>
      <c r="C64" s="102"/>
      <c r="D64" s="103"/>
      <c r="E64" s="103">
        <f aca="true" t="shared" si="4" ref="E64:G65">E65</f>
        <v>0</v>
      </c>
      <c r="F64" s="103">
        <f t="shared" si="4"/>
        <v>50000</v>
      </c>
      <c r="G64" s="223">
        <f t="shared" si="4"/>
        <v>50000</v>
      </c>
      <c r="I64" s="233">
        <v>58151.29</v>
      </c>
      <c r="J64" s="233">
        <v>50000</v>
      </c>
      <c r="K64" s="234">
        <f t="shared" si="3"/>
        <v>50000</v>
      </c>
      <c r="L64" s="234"/>
    </row>
    <row r="65" spans="1:12" ht="31.5">
      <c r="A65" s="153" t="s">
        <v>615</v>
      </c>
      <c r="B65" s="101" t="s">
        <v>617</v>
      </c>
      <c r="C65" s="102"/>
      <c r="D65" s="103"/>
      <c r="E65" s="103">
        <f t="shared" si="4"/>
        <v>0</v>
      </c>
      <c r="F65" s="103">
        <f t="shared" si="4"/>
        <v>50000</v>
      </c>
      <c r="G65" s="223">
        <f t="shared" si="4"/>
        <v>50000</v>
      </c>
      <c r="I65" s="233">
        <v>58151.29</v>
      </c>
      <c r="J65" s="233">
        <v>50000</v>
      </c>
      <c r="K65" s="234">
        <f t="shared" si="3"/>
        <v>50000</v>
      </c>
      <c r="L65" s="234"/>
    </row>
    <row r="66" spans="1:12" ht="31.5">
      <c r="A66" s="155" t="s">
        <v>875</v>
      </c>
      <c r="B66" s="20" t="s">
        <v>618</v>
      </c>
      <c r="C66" s="58">
        <v>200</v>
      </c>
      <c r="D66" s="77"/>
      <c r="E66" s="77"/>
      <c r="F66" s="183">
        <v>50000</v>
      </c>
      <c r="G66" s="222">
        <v>50000</v>
      </c>
      <c r="I66" s="233">
        <v>58151.29</v>
      </c>
      <c r="J66" s="233">
        <v>50000</v>
      </c>
      <c r="K66" s="234">
        <f t="shared" si="3"/>
        <v>50000</v>
      </c>
      <c r="L66" s="234"/>
    </row>
    <row r="67" spans="1:12" ht="47.25">
      <c r="A67" s="107" t="s">
        <v>1082</v>
      </c>
      <c r="B67" s="19" t="s">
        <v>1231</v>
      </c>
      <c r="C67" s="102"/>
      <c r="D67" s="103"/>
      <c r="E67" s="103">
        <f>E68</f>
        <v>0</v>
      </c>
      <c r="F67" s="103">
        <f>F68</f>
        <v>20000</v>
      </c>
      <c r="G67" s="223">
        <f>G68</f>
        <v>20000</v>
      </c>
      <c r="I67" s="233">
        <v>11848.71</v>
      </c>
      <c r="J67" s="233">
        <v>20000</v>
      </c>
      <c r="K67" s="234">
        <f t="shared" si="3"/>
        <v>20000</v>
      </c>
      <c r="L67" s="234"/>
    </row>
    <row r="68" spans="1:12" ht="51" customHeight="1">
      <c r="A68" s="107" t="s">
        <v>1077</v>
      </c>
      <c r="B68" s="19" t="s">
        <v>1232</v>
      </c>
      <c r="C68" s="102"/>
      <c r="D68" s="103"/>
      <c r="E68" s="103">
        <f>SUM(E69:E70)</f>
        <v>0</v>
      </c>
      <c r="F68" s="103">
        <f>SUM(F69:F70)</f>
        <v>20000</v>
      </c>
      <c r="G68" s="223">
        <f>SUM(G69:G70)</f>
        <v>20000</v>
      </c>
      <c r="I68" s="233">
        <v>11848.71</v>
      </c>
      <c r="J68" s="233">
        <v>20000</v>
      </c>
      <c r="K68" s="234">
        <f t="shared" si="3"/>
        <v>20000</v>
      </c>
      <c r="L68" s="234"/>
    </row>
    <row r="69" spans="1:12" ht="63">
      <c r="A69" s="122" t="s">
        <v>1078</v>
      </c>
      <c r="B69" s="21" t="s">
        <v>1233</v>
      </c>
      <c r="C69" s="78">
        <v>200</v>
      </c>
      <c r="D69" s="79"/>
      <c r="E69" s="79"/>
      <c r="F69" s="79">
        <v>0</v>
      </c>
      <c r="G69" s="225">
        <v>0</v>
      </c>
      <c r="I69" s="233">
        <v>0</v>
      </c>
      <c r="J69" s="233">
        <v>0</v>
      </c>
      <c r="K69" s="234">
        <f t="shared" si="3"/>
        <v>0</v>
      </c>
      <c r="L69" s="234"/>
    </row>
    <row r="70" spans="1:12" ht="81.75" customHeight="1">
      <c r="A70" s="122" t="s">
        <v>1079</v>
      </c>
      <c r="B70" s="21" t="s">
        <v>1234</v>
      </c>
      <c r="C70" s="78">
        <v>200</v>
      </c>
      <c r="D70" s="79"/>
      <c r="E70" s="79"/>
      <c r="F70" s="176">
        <v>20000</v>
      </c>
      <c r="G70" s="222">
        <v>20000</v>
      </c>
      <c r="I70" s="233">
        <v>11848.71</v>
      </c>
      <c r="J70" s="233">
        <v>20000</v>
      </c>
      <c r="K70" s="234">
        <f t="shared" si="3"/>
        <v>20000</v>
      </c>
      <c r="L70" s="234"/>
    </row>
    <row r="71" spans="1:12" ht="31.5">
      <c r="A71" s="120" t="s">
        <v>642</v>
      </c>
      <c r="B71" s="22" t="s">
        <v>371</v>
      </c>
      <c r="C71" s="152"/>
      <c r="D71" s="124">
        <f>D72</f>
        <v>0</v>
      </c>
      <c r="E71" s="124">
        <f>E72</f>
        <v>0</v>
      </c>
      <c r="F71" s="124">
        <f>F72+F80</f>
        <v>458000</v>
      </c>
      <c r="G71" s="220">
        <f>G72+G80</f>
        <v>458000</v>
      </c>
      <c r="I71" s="233">
        <v>458000</v>
      </c>
      <c r="J71" s="233">
        <v>458000</v>
      </c>
      <c r="K71" s="234">
        <f t="shared" si="3"/>
        <v>458000</v>
      </c>
      <c r="L71" s="234"/>
    </row>
    <row r="72" spans="1:12" ht="31.5">
      <c r="A72" s="121" t="s">
        <v>372</v>
      </c>
      <c r="B72" s="19" t="s">
        <v>373</v>
      </c>
      <c r="C72" s="57"/>
      <c r="D72" s="80">
        <f>SUM(D74:D76)</f>
        <v>0</v>
      </c>
      <c r="E72" s="80">
        <f>E73+E77</f>
        <v>0</v>
      </c>
      <c r="F72" s="80">
        <f>F73+F77</f>
        <v>458000</v>
      </c>
      <c r="G72" s="221">
        <f>G73+G77</f>
        <v>458000</v>
      </c>
      <c r="I72" s="233">
        <v>458000</v>
      </c>
      <c r="J72" s="233">
        <v>458000</v>
      </c>
      <c r="K72" s="234">
        <f t="shared" si="3"/>
        <v>458000</v>
      </c>
      <c r="L72" s="234"/>
    </row>
    <row r="73" spans="1:12" ht="31.5">
      <c r="A73" s="121" t="s">
        <v>374</v>
      </c>
      <c r="B73" s="19" t="s">
        <v>375</v>
      </c>
      <c r="C73" s="57"/>
      <c r="D73" s="80"/>
      <c r="E73" s="80">
        <f>SUM(E74:E76)</f>
        <v>0</v>
      </c>
      <c r="F73" s="80">
        <f>SUM(F74:F76)</f>
        <v>30000</v>
      </c>
      <c r="G73" s="221">
        <f>SUM(G74:G76)</f>
        <v>30000</v>
      </c>
      <c r="I73" s="233">
        <v>30000</v>
      </c>
      <c r="J73" s="233">
        <v>30000</v>
      </c>
      <c r="K73" s="234">
        <f t="shared" si="3"/>
        <v>30000</v>
      </c>
      <c r="L73" s="234"/>
    </row>
    <row r="74" spans="1:12" ht="33.75" customHeight="1">
      <c r="A74" s="59" t="s">
        <v>601</v>
      </c>
      <c r="B74" s="20" t="s">
        <v>376</v>
      </c>
      <c r="C74" s="58">
        <v>200</v>
      </c>
      <c r="D74" s="77"/>
      <c r="E74" s="77"/>
      <c r="F74" s="169">
        <v>10000</v>
      </c>
      <c r="G74" s="222">
        <v>10000</v>
      </c>
      <c r="I74" s="233">
        <v>10000</v>
      </c>
      <c r="J74" s="233">
        <v>10000</v>
      </c>
      <c r="K74" s="234">
        <f t="shared" si="3"/>
        <v>10000</v>
      </c>
      <c r="L74" s="234"/>
    </row>
    <row r="75" spans="1:12" ht="47.25">
      <c r="A75" s="59" t="s">
        <v>1272</v>
      </c>
      <c r="B75" s="20" t="s">
        <v>377</v>
      </c>
      <c r="C75" s="58">
        <v>200</v>
      </c>
      <c r="D75" s="77"/>
      <c r="E75" s="77"/>
      <c r="F75" s="169">
        <v>20000</v>
      </c>
      <c r="G75" s="222">
        <v>20000</v>
      </c>
      <c r="I75" s="233">
        <v>20000</v>
      </c>
      <c r="J75" s="233">
        <v>20000</v>
      </c>
      <c r="K75" s="234">
        <f t="shared" si="3"/>
        <v>20000</v>
      </c>
      <c r="L75" s="234"/>
    </row>
    <row r="76" spans="1:12" ht="47.25">
      <c r="A76" s="59" t="s">
        <v>589</v>
      </c>
      <c r="B76" s="20" t="s">
        <v>378</v>
      </c>
      <c r="C76" s="58">
        <v>200</v>
      </c>
      <c r="D76" s="77"/>
      <c r="E76" s="77"/>
      <c r="F76" s="77">
        <v>0</v>
      </c>
      <c r="G76" s="224">
        <v>0</v>
      </c>
      <c r="I76" s="233">
        <v>0</v>
      </c>
      <c r="J76" s="233">
        <v>0</v>
      </c>
      <c r="K76" s="234">
        <f t="shared" si="3"/>
        <v>0</v>
      </c>
      <c r="L76" s="234"/>
    </row>
    <row r="77" spans="1:12" ht="31.5">
      <c r="A77" s="121" t="s">
        <v>892</v>
      </c>
      <c r="B77" s="101" t="s">
        <v>890</v>
      </c>
      <c r="C77" s="102"/>
      <c r="D77" s="103"/>
      <c r="E77" s="103">
        <f>SUM(E78:E79)</f>
        <v>0</v>
      </c>
      <c r="F77" s="103">
        <f>SUM(F78:F83)</f>
        <v>428000</v>
      </c>
      <c r="G77" s="223">
        <f>SUM(G78:G83)</f>
        <v>428000</v>
      </c>
      <c r="I77" s="233">
        <v>428000</v>
      </c>
      <c r="J77" s="233">
        <v>428000</v>
      </c>
      <c r="K77" s="234">
        <f t="shared" si="3"/>
        <v>428000</v>
      </c>
      <c r="L77" s="234"/>
    </row>
    <row r="78" spans="1:12" ht="47.25">
      <c r="A78" s="59" t="s">
        <v>613</v>
      </c>
      <c r="B78" s="20" t="s">
        <v>891</v>
      </c>
      <c r="C78" s="58">
        <v>800</v>
      </c>
      <c r="D78" s="77"/>
      <c r="E78" s="77"/>
      <c r="F78" s="114">
        <v>258000</v>
      </c>
      <c r="G78" s="222">
        <v>258000</v>
      </c>
      <c r="I78" s="233">
        <v>258000</v>
      </c>
      <c r="J78" s="233">
        <v>258000</v>
      </c>
      <c r="K78" s="234">
        <f t="shared" si="3"/>
        <v>258000</v>
      </c>
      <c r="L78" s="234"/>
    </row>
    <row r="79" spans="1:12" ht="117.75" customHeight="1">
      <c r="A79" s="59" t="s">
        <v>1273</v>
      </c>
      <c r="B79" s="20" t="s">
        <v>911</v>
      </c>
      <c r="C79" s="58">
        <v>800</v>
      </c>
      <c r="D79" s="77"/>
      <c r="E79" s="77"/>
      <c r="F79" s="114">
        <v>170000</v>
      </c>
      <c r="G79" s="222">
        <v>170000</v>
      </c>
      <c r="I79" s="233">
        <v>170000</v>
      </c>
      <c r="J79" s="233">
        <v>170000</v>
      </c>
      <c r="K79" s="234">
        <f t="shared" si="3"/>
        <v>170000</v>
      </c>
      <c r="L79" s="234"/>
    </row>
    <row r="80" spans="1:12" ht="31.5">
      <c r="A80" s="121" t="s">
        <v>1264</v>
      </c>
      <c r="B80" s="101" t="s">
        <v>1262</v>
      </c>
      <c r="C80" s="102"/>
      <c r="D80" s="103"/>
      <c r="E80" s="103">
        <f>E81</f>
        <v>0</v>
      </c>
      <c r="F80" s="103">
        <f>F81</f>
        <v>0</v>
      </c>
      <c r="G80" s="223">
        <f>G81</f>
        <v>0</v>
      </c>
      <c r="I80" s="233">
        <v>0</v>
      </c>
      <c r="J80" s="233">
        <v>0</v>
      </c>
      <c r="K80" s="234">
        <f t="shared" si="3"/>
        <v>0</v>
      </c>
      <c r="L80" s="234"/>
    </row>
    <row r="81" spans="1:12" ht="33.75" customHeight="1">
      <c r="A81" s="154" t="s">
        <v>1177</v>
      </c>
      <c r="B81" s="101" t="s">
        <v>1263</v>
      </c>
      <c r="C81" s="102"/>
      <c r="D81" s="103"/>
      <c r="E81" s="103">
        <f>E82+E83</f>
        <v>0</v>
      </c>
      <c r="F81" s="103">
        <f>F82+F83</f>
        <v>0</v>
      </c>
      <c r="G81" s="223">
        <f>G82+G83</f>
        <v>0</v>
      </c>
      <c r="I81" s="233">
        <v>0</v>
      </c>
      <c r="J81" s="233">
        <v>0</v>
      </c>
      <c r="K81" s="234">
        <f t="shared" si="3"/>
        <v>0</v>
      </c>
      <c r="L81" s="234"/>
    </row>
    <row r="82" spans="1:12" ht="66.75" customHeight="1">
      <c r="A82" s="59" t="s">
        <v>1178</v>
      </c>
      <c r="B82" s="20" t="s">
        <v>1270</v>
      </c>
      <c r="C82" s="58">
        <v>200</v>
      </c>
      <c r="D82" s="77"/>
      <c r="E82" s="77"/>
      <c r="F82" s="77">
        <v>0</v>
      </c>
      <c r="G82" s="224">
        <v>0</v>
      </c>
      <c r="I82" s="233">
        <v>0</v>
      </c>
      <c r="J82" s="233">
        <v>0</v>
      </c>
      <c r="K82" s="234">
        <f t="shared" si="3"/>
        <v>0</v>
      </c>
      <c r="L82" s="234"/>
    </row>
    <row r="83" spans="1:12" ht="80.25" customHeight="1">
      <c r="A83" s="59" t="s">
        <v>1179</v>
      </c>
      <c r="B83" s="20" t="s">
        <v>1271</v>
      </c>
      <c r="C83" s="58">
        <v>200</v>
      </c>
      <c r="D83" s="77"/>
      <c r="E83" s="77"/>
      <c r="F83" s="77">
        <v>0</v>
      </c>
      <c r="G83" s="224">
        <v>0</v>
      </c>
      <c r="I83" s="233">
        <v>0</v>
      </c>
      <c r="J83" s="233">
        <v>0</v>
      </c>
      <c r="K83" s="234">
        <f t="shared" si="3"/>
        <v>0</v>
      </c>
      <c r="L83" s="234"/>
    </row>
    <row r="84" spans="1:12" ht="31.5">
      <c r="A84" s="160" t="s">
        <v>853</v>
      </c>
      <c r="B84" s="22" t="s">
        <v>379</v>
      </c>
      <c r="C84" s="152"/>
      <c r="D84" s="124" t="e">
        <f>D85+#REF!+#REF!</f>
        <v>#REF!</v>
      </c>
      <c r="E84" s="124">
        <f>E85</f>
        <v>0</v>
      </c>
      <c r="F84" s="124">
        <f>F85</f>
        <v>8500</v>
      </c>
      <c r="G84" s="220">
        <f>G85</f>
        <v>66000</v>
      </c>
      <c r="I84" s="233">
        <v>69500</v>
      </c>
      <c r="J84" s="233">
        <v>8500</v>
      </c>
      <c r="K84" s="234">
        <f t="shared" si="3"/>
        <v>8500</v>
      </c>
      <c r="L84" s="234"/>
    </row>
    <row r="85" spans="1:12" ht="31.5">
      <c r="A85" s="107" t="s">
        <v>857</v>
      </c>
      <c r="B85" s="19" t="s">
        <v>380</v>
      </c>
      <c r="C85" s="57"/>
      <c r="D85" s="80">
        <f>D100</f>
        <v>0</v>
      </c>
      <c r="E85" s="80">
        <f>E86+E92+E99+E105</f>
        <v>0</v>
      </c>
      <c r="F85" s="80">
        <f>F86+F92+F99+F105</f>
        <v>8500</v>
      </c>
      <c r="G85" s="221">
        <f>G86+G92+G99</f>
        <v>66000</v>
      </c>
      <c r="I85" s="233">
        <v>69500</v>
      </c>
      <c r="J85" s="233">
        <v>8500</v>
      </c>
      <c r="K85" s="234">
        <f t="shared" si="3"/>
        <v>8500</v>
      </c>
      <c r="L85" s="234"/>
    </row>
    <row r="86" spans="1:12" ht="31.5">
      <c r="A86" s="107" t="s">
        <v>899</v>
      </c>
      <c r="B86" s="19" t="s">
        <v>381</v>
      </c>
      <c r="C86" s="57"/>
      <c r="D86" s="80"/>
      <c r="E86" s="80">
        <f>SUM(E87:E91)</f>
        <v>0</v>
      </c>
      <c r="F86" s="80">
        <f>SUM(F87:F91)</f>
        <v>0</v>
      </c>
      <c r="G86" s="221">
        <f>SUM(G87:G91)</f>
        <v>11500</v>
      </c>
      <c r="I86" s="233">
        <v>11500</v>
      </c>
      <c r="J86" s="233">
        <v>0</v>
      </c>
      <c r="K86" s="234">
        <f t="shared" si="3"/>
        <v>0</v>
      </c>
      <c r="L86" s="234"/>
    </row>
    <row r="87" spans="1:12" ht="65.25" customHeight="1">
      <c r="A87" s="63" t="s">
        <v>856</v>
      </c>
      <c r="B87" s="20" t="s">
        <v>1235</v>
      </c>
      <c r="C87" s="58">
        <v>200</v>
      </c>
      <c r="D87" s="77"/>
      <c r="E87" s="77"/>
      <c r="F87" s="77">
        <v>0</v>
      </c>
      <c r="G87" s="224"/>
      <c r="I87" s="233"/>
      <c r="J87" s="233">
        <v>0</v>
      </c>
      <c r="K87" s="234">
        <f t="shared" si="3"/>
        <v>0</v>
      </c>
      <c r="L87" s="234"/>
    </row>
    <row r="88" spans="1:12" ht="63" hidden="1">
      <c r="A88" s="63" t="s">
        <v>858</v>
      </c>
      <c r="B88" s="20" t="s">
        <v>1236</v>
      </c>
      <c r="C88" s="58">
        <v>200</v>
      </c>
      <c r="D88" s="77"/>
      <c r="E88" s="77"/>
      <c r="F88" s="77"/>
      <c r="G88" s="224"/>
      <c r="I88" s="233"/>
      <c r="K88" s="234">
        <f t="shared" si="3"/>
        <v>0</v>
      </c>
      <c r="L88" s="234"/>
    </row>
    <row r="89" spans="1:12" ht="51" customHeight="1" hidden="1">
      <c r="A89" s="63" t="s">
        <v>859</v>
      </c>
      <c r="B89" s="20" t="s">
        <v>1237</v>
      </c>
      <c r="C89" s="58">
        <v>200</v>
      </c>
      <c r="D89" s="77"/>
      <c r="E89" s="77"/>
      <c r="F89" s="77"/>
      <c r="G89" s="224"/>
      <c r="I89" s="233"/>
      <c r="K89" s="234">
        <f t="shared" si="3"/>
        <v>0</v>
      </c>
      <c r="L89" s="234"/>
    </row>
    <row r="90" spans="1:12" ht="63.75" customHeight="1" hidden="1">
      <c r="A90" s="157" t="s">
        <v>1253</v>
      </c>
      <c r="B90" s="112" t="s">
        <v>1254</v>
      </c>
      <c r="C90" s="113">
        <v>200</v>
      </c>
      <c r="D90" s="114"/>
      <c r="E90" s="114"/>
      <c r="F90" s="114"/>
      <c r="G90" s="222">
        <v>11500</v>
      </c>
      <c r="I90" s="233">
        <v>11500</v>
      </c>
      <c r="K90" s="234">
        <f t="shared" si="3"/>
        <v>0</v>
      </c>
      <c r="L90" s="234"/>
    </row>
    <row r="91" spans="1:12" ht="63" hidden="1">
      <c r="A91" s="63" t="s">
        <v>861</v>
      </c>
      <c r="B91" s="20" t="s">
        <v>1239</v>
      </c>
      <c r="C91" s="58">
        <v>200</v>
      </c>
      <c r="D91" s="77"/>
      <c r="E91" s="77"/>
      <c r="F91" s="77"/>
      <c r="G91" s="224"/>
      <c r="I91" s="233"/>
      <c r="K91" s="234">
        <f t="shared" si="3"/>
        <v>0</v>
      </c>
      <c r="L91" s="234"/>
    </row>
    <row r="92" spans="1:12" ht="31.5">
      <c r="A92" s="107" t="s">
        <v>900</v>
      </c>
      <c r="B92" s="19" t="s">
        <v>1240</v>
      </c>
      <c r="C92" s="102"/>
      <c r="D92" s="103"/>
      <c r="E92" s="103">
        <f>SUM(E93:E98)</f>
        <v>0</v>
      </c>
      <c r="F92" s="103">
        <f>SUM(F93:F98)</f>
        <v>2000</v>
      </c>
      <c r="G92" s="223">
        <f>SUM(G93:G98)</f>
        <v>34500</v>
      </c>
      <c r="I92" s="233">
        <v>38000</v>
      </c>
      <c r="J92" s="233">
        <v>2000</v>
      </c>
      <c r="K92" s="234">
        <f t="shared" si="3"/>
        <v>2000</v>
      </c>
      <c r="L92" s="234"/>
    </row>
    <row r="93" spans="1:12" ht="65.25" customHeight="1" hidden="1">
      <c r="A93" s="63" t="s">
        <v>903</v>
      </c>
      <c r="B93" s="20" t="s">
        <v>1241</v>
      </c>
      <c r="C93" s="58">
        <v>200</v>
      </c>
      <c r="D93" s="77"/>
      <c r="E93" s="77"/>
      <c r="F93" s="77"/>
      <c r="G93" s="224"/>
      <c r="I93" s="233"/>
      <c r="K93" s="234">
        <f t="shared" si="3"/>
        <v>0</v>
      </c>
      <c r="L93" s="234"/>
    </row>
    <row r="94" spans="1:12" ht="66.75" customHeight="1" hidden="1">
      <c r="A94" s="157" t="s">
        <v>1256</v>
      </c>
      <c r="B94" s="112" t="s">
        <v>1257</v>
      </c>
      <c r="C94" s="113">
        <v>200</v>
      </c>
      <c r="D94" s="114"/>
      <c r="E94" s="114"/>
      <c r="F94" s="114"/>
      <c r="G94" s="222">
        <v>30000</v>
      </c>
      <c r="I94" s="233">
        <v>30000</v>
      </c>
      <c r="K94" s="234">
        <f t="shared" si="3"/>
        <v>0</v>
      </c>
      <c r="L94" s="234"/>
    </row>
    <row r="95" spans="1:12" ht="66.75" customHeight="1">
      <c r="A95" s="122" t="s">
        <v>1460</v>
      </c>
      <c r="B95" s="112" t="s">
        <v>1475</v>
      </c>
      <c r="C95" s="113">
        <v>200</v>
      </c>
      <c r="D95" s="114"/>
      <c r="E95" s="114"/>
      <c r="F95" s="114">
        <v>2000</v>
      </c>
      <c r="G95" s="222"/>
      <c r="I95" s="233"/>
      <c r="J95" s="233">
        <v>2000</v>
      </c>
      <c r="K95" s="234">
        <f t="shared" si="3"/>
        <v>2000</v>
      </c>
      <c r="L95" s="234"/>
    </row>
    <row r="96" spans="1:12" ht="61.5" customHeight="1" hidden="1">
      <c r="A96" s="157" t="s">
        <v>1474</v>
      </c>
      <c r="B96" s="112" t="s">
        <v>1280</v>
      </c>
      <c r="C96" s="113">
        <v>200</v>
      </c>
      <c r="D96" s="114"/>
      <c r="E96" s="114"/>
      <c r="F96" s="114"/>
      <c r="G96" s="222">
        <v>2000</v>
      </c>
      <c r="I96" s="233">
        <v>2000</v>
      </c>
      <c r="K96" s="234">
        <f t="shared" si="3"/>
        <v>0</v>
      </c>
      <c r="L96" s="234"/>
    </row>
    <row r="97" spans="1:12" ht="63" hidden="1">
      <c r="A97" s="63" t="s">
        <v>1007</v>
      </c>
      <c r="B97" s="20" t="s">
        <v>1242</v>
      </c>
      <c r="C97" s="58">
        <v>200</v>
      </c>
      <c r="D97" s="77"/>
      <c r="E97" s="77"/>
      <c r="F97" s="77"/>
      <c r="G97" s="224">
        <v>2500</v>
      </c>
      <c r="I97" s="233">
        <v>6000</v>
      </c>
      <c r="K97" s="234">
        <f t="shared" si="3"/>
        <v>0</v>
      </c>
      <c r="L97" s="234"/>
    </row>
    <row r="98" spans="1:12" ht="63" hidden="1">
      <c r="A98" s="157" t="s">
        <v>905</v>
      </c>
      <c r="B98" s="112" t="s">
        <v>1243</v>
      </c>
      <c r="C98" s="113">
        <v>200</v>
      </c>
      <c r="D98" s="114"/>
      <c r="E98" s="114"/>
      <c r="F98" s="114"/>
      <c r="G98" s="222">
        <v>0</v>
      </c>
      <c r="I98" s="233">
        <v>0</v>
      </c>
      <c r="K98" s="234">
        <f t="shared" si="3"/>
        <v>0</v>
      </c>
      <c r="L98" s="234"/>
    </row>
    <row r="99" spans="1:12" ht="46.5" customHeight="1">
      <c r="A99" s="107" t="s">
        <v>901</v>
      </c>
      <c r="B99" s="19" t="s">
        <v>1244</v>
      </c>
      <c r="C99" s="102"/>
      <c r="D99" s="103"/>
      <c r="E99" s="103">
        <f>SUM(E100:E104)</f>
        <v>0</v>
      </c>
      <c r="F99" s="103">
        <f>SUM(F100:F104)</f>
        <v>3500</v>
      </c>
      <c r="G99" s="223">
        <f>SUM(G100:G104)</f>
        <v>20000</v>
      </c>
      <c r="I99" s="233">
        <v>20000</v>
      </c>
      <c r="J99" s="233">
        <v>3500</v>
      </c>
      <c r="K99" s="234">
        <f t="shared" si="3"/>
        <v>3500</v>
      </c>
      <c r="L99" s="234"/>
    </row>
    <row r="100" spans="1:12" ht="60.75" customHeight="1" hidden="1">
      <c r="A100" s="63" t="s">
        <v>862</v>
      </c>
      <c r="B100" s="20" t="s">
        <v>1245</v>
      </c>
      <c r="C100" s="58">
        <v>200</v>
      </c>
      <c r="D100" s="77"/>
      <c r="E100" s="77"/>
      <c r="F100" s="77"/>
      <c r="G100" s="224"/>
      <c r="I100" s="233"/>
      <c r="K100" s="234">
        <f t="shared" si="3"/>
        <v>0</v>
      </c>
      <c r="L100" s="234"/>
    </row>
    <row r="101" spans="1:12" ht="63" customHeight="1" hidden="1">
      <c r="A101" s="157" t="s">
        <v>1213</v>
      </c>
      <c r="B101" s="112" t="s">
        <v>1246</v>
      </c>
      <c r="C101" s="113">
        <v>200</v>
      </c>
      <c r="D101" s="114"/>
      <c r="E101" s="114"/>
      <c r="F101" s="114"/>
      <c r="G101" s="222">
        <v>15000</v>
      </c>
      <c r="I101" s="233">
        <v>15000</v>
      </c>
      <c r="K101" s="234">
        <f t="shared" si="3"/>
        <v>0</v>
      </c>
      <c r="L101" s="234"/>
    </row>
    <row r="102" spans="1:12" ht="63" customHeight="1">
      <c r="A102" s="122" t="s">
        <v>1462</v>
      </c>
      <c r="B102" s="112" t="s">
        <v>1476</v>
      </c>
      <c r="C102" s="113">
        <v>200</v>
      </c>
      <c r="D102" s="114"/>
      <c r="E102" s="114"/>
      <c r="F102" s="114">
        <v>3500</v>
      </c>
      <c r="G102" s="222"/>
      <c r="I102" s="233"/>
      <c r="J102" s="233">
        <v>3500</v>
      </c>
      <c r="K102" s="234">
        <f t="shared" si="3"/>
        <v>3500</v>
      </c>
      <c r="L102" s="234"/>
    </row>
    <row r="103" spans="1:12" ht="78" customHeight="1" hidden="1">
      <c r="A103" s="157" t="s">
        <v>1216</v>
      </c>
      <c r="B103" s="112" t="s">
        <v>1247</v>
      </c>
      <c r="C103" s="113">
        <v>200</v>
      </c>
      <c r="D103" s="114"/>
      <c r="E103" s="114"/>
      <c r="F103" s="114"/>
      <c r="G103" s="222">
        <v>5000</v>
      </c>
      <c r="I103" s="233">
        <v>5000</v>
      </c>
      <c r="K103" s="234">
        <f t="shared" si="3"/>
        <v>0</v>
      </c>
      <c r="L103" s="234"/>
    </row>
    <row r="104" spans="1:12" ht="62.25" customHeight="1" hidden="1">
      <c r="A104" s="157" t="s">
        <v>863</v>
      </c>
      <c r="B104" s="112" t="s">
        <v>1248</v>
      </c>
      <c r="C104" s="113">
        <v>200</v>
      </c>
      <c r="D104" s="114"/>
      <c r="E104" s="114"/>
      <c r="F104" s="114"/>
      <c r="G104" s="222"/>
      <c r="I104" s="233"/>
      <c r="K104" s="234">
        <f t="shared" si="3"/>
        <v>0</v>
      </c>
      <c r="L104" s="234"/>
    </row>
    <row r="105" spans="1:12" ht="27.75" customHeight="1">
      <c r="A105" s="107" t="s">
        <v>1367</v>
      </c>
      <c r="B105" s="19" t="s">
        <v>1368</v>
      </c>
      <c r="C105" s="102"/>
      <c r="D105" s="103"/>
      <c r="E105" s="103">
        <f>SUM(E106:E108)</f>
        <v>0</v>
      </c>
      <c r="F105" s="103">
        <f>SUM(F106:F108)</f>
        <v>3000</v>
      </c>
      <c r="G105" s="222"/>
      <c r="I105" s="233"/>
      <c r="J105" s="233">
        <v>3000</v>
      </c>
      <c r="K105" s="234">
        <f t="shared" si="3"/>
        <v>3000</v>
      </c>
      <c r="L105" s="234"/>
    </row>
    <row r="106" spans="1:12" ht="64.5" customHeight="1" hidden="1">
      <c r="A106" s="157" t="s">
        <v>1371</v>
      </c>
      <c r="B106" s="112" t="s">
        <v>1369</v>
      </c>
      <c r="C106" s="113">
        <v>200</v>
      </c>
      <c r="D106" s="114"/>
      <c r="E106" s="114"/>
      <c r="F106" s="114"/>
      <c r="G106" s="222"/>
      <c r="I106" s="233"/>
      <c r="K106" s="234">
        <f t="shared" si="3"/>
        <v>0</v>
      </c>
      <c r="L106" s="234"/>
    </row>
    <row r="107" spans="1:12" ht="64.5" customHeight="1">
      <c r="A107" s="122" t="s">
        <v>1464</v>
      </c>
      <c r="B107" s="112" t="s">
        <v>1477</v>
      </c>
      <c r="C107" s="113">
        <v>200</v>
      </c>
      <c r="D107" s="114"/>
      <c r="E107" s="114"/>
      <c r="F107" s="114">
        <v>3000</v>
      </c>
      <c r="G107" s="222"/>
      <c r="I107" s="233"/>
      <c r="J107" s="233">
        <v>3000</v>
      </c>
      <c r="K107" s="234">
        <f t="shared" si="3"/>
        <v>3000</v>
      </c>
      <c r="L107" s="234"/>
    </row>
    <row r="108" spans="1:12" ht="62.25" customHeight="1" hidden="1">
      <c r="A108" s="157" t="s">
        <v>1372</v>
      </c>
      <c r="B108" s="112" t="s">
        <v>1370</v>
      </c>
      <c r="C108" s="113">
        <v>200</v>
      </c>
      <c r="D108" s="114"/>
      <c r="E108" s="114"/>
      <c r="F108" s="114"/>
      <c r="G108" s="222"/>
      <c r="I108" s="233"/>
      <c r="K108" s="234">
        <f t="shared" si="3"/>
        <v>0</v>
      </c>
      <c r="L108" s="234"/>
    </row>
    <row r="109" spans="1:12" ht="51.75" customHeight="1">
      <c r="A109" s="160" t="s">
        <v>1472</v>
      </c>
      <c r="B109" s="22" t="s">
        <v>382</v>
      </c>
      <c r="C109" s="102"/>
      <c r="D109" s="103"/>
      <c r="E109" s="124">
        <f>E110</f>
        <v>-474534.6</v>
      </c>
      <c r="F109" s="124">
        <f>F110</f>
        <v>1173357.23</v>
      </c>
      <c r="G109" s="223" t="e">
        <f>G110</f>
        <v>#REF!</v>
      </c>
      <c r="I109" s="233">
        <v>37438310.02</v>
      </c>
      <c r="J109" s="233">
        <v>1647891.83</v>
      </c>
      <c r="K109" s="234">
        <f t="shared" si="3"/>
        <v>1173357.23</v>
      </c>
      <c r="L109" s="234"/>
    </row>
    <row r="110" spans="1:12" ht="33.75" customHeight="1">
      <c r="A110" s="107" t="s">
        <v>1473</v>
      </c>
      <c r="B110" s="19" t="s">
        <v>383</v>
      </c>
      <c r="C110" s="102"/>
      <c r="D110" s="103"/>
      <c r="E110" s="103">
        <f>E111+E113+E115+E117+E119+E121</f>
        <v>-474534.6</v>
      </c>
      <c r="F110" s="103">
        <f>F111+F113+F115+F117+F119+F121</f>
        <v>1173357.23</v>
      </c>
      <c r="G110" s="223" t="e">
        <f>G111</f>
        <v>#REF!</v>
      </c>
      <c r="I110" s="233">
        <v>37438310.02</v>
      </c>
      <c r="J110" s="233">
        <v>1647891.83</v>
      </c>
      <c r="K110" s="234">
        <f t="shared" si="3"/>
        <v>1173357.23</v>
      </c>
      <c r="L110" s="234"/>
    </row>
    <row r="111" spans="1:12" ht="39" customHeight="1">
      <c r="A111" s="107" t="s">
        <v>1387</v>
      </c>
      <c r="B111" s="19" t="s">
        <v>384</v>
      </c>
      <c r="C111" s="102"/>
      <c r="D111" s="103"/>
      <c r="E111" s="103">
        <f>E112</f>
        <v>0</v>
      </c>
      <c r="F111" s="103">
        <f>F112</f>
        <v>0</v>
      </c>
      <c r="G111" s="223" t="e">
        <f>G112+#REF!</f>
        <v>#REF!</v>
      </c>
      <c r="I111" s="233">
        <v>37438310.02</v>
      </c>
      <c r="J111" s="233">
        <v>0</v>
      </c>
      <c r="K111" s="234">
        <f t="shared" si="3"/>
        <v>0</v>
      </c>
      <c r="L111" s="234"/>
    </row>
    <row r="112" spans="1:12" ht="49.5" customHeight="1">
      <c r="A112" s="156" t="s">
        <v>1354</v>
      </c>
      <c r="B112" s="112" t="s">
        <v>1360</v>
      </c>
      <c r="C112" s="113">
        <v>400</v>
      </c>
      <c r="D112" s="114"/>
      <c r="E112" s="114"/>
      <c r="F112" s="114">
        <v>0</v>
      </c>
      <c r="G112" s="222">
        <v>0</v>
      </c>
      <c r="I112" s="233">
        <v>33868930</v>
      </c>
      <c r="J112" s="233">
        <v>0</v>
      </c>
      <c r="K112" s="234">
        <f t="shared" si="3"/>
        <v>0</v>
      </c>
      <c r="L112" s="234"/>
    </row>
    <row r="113" spans="1:12" ht="34.5" customHeight="1">
      <c r="A113" s="107" t="s">
        <v>1389</v>
      </c>
      <c r="B113" s="19" t="s">
        <v>1388</v>
      </c>
      <c r="C113" s="102"/>
      <c r="D113" s="103"/>
      <c r="E113" s="103">
        <f>E114</f>
        <v>0</v>
      </c>
      <c r="F113" s="103">
        <f>F114</f>
        <v>0</v>
      </c>
      <c r="G113" s="222"/>
      <c r="I113" s="233"/>
      <c r="J113" s="233">
        <v>0</v>
      </c>
      <c r="K113" s="234">
        <f t="shared" si="3"/>
        <v>0</v>
      </c>
      <c r="L113" s="234"/>
    </row>
    <row r="114" spans="1:12" ht="49.5" customHeight="1">
      <c r="A114" s="157" t="s">
        <v>1390</v>
      </c>
      <c r="B114" s="112" t="s">
        <v>1391</v>
      </c>
      <c r="C114" s="113">
        <v>400</v>
      </c>
      <c r="D114" s="114"/>
      <c r="E114" s="114"/>
      <c r="F114" s="114">
        <v>0</v>
      </c>
      <c r="G114" s="222"/>
      <c r="I114" s="233"/>
      <c r="J114" s="233">
        <v>0</v>
      </c>
      <c r="K114" s="234">
        <f t="shared" si="3"/>
        <v>0</v>
      </c>
      <c r="L114" s="234"/>
    </row>
    <row r="115" spans="1:12" ht="49.5" customHeight="1">
      <c r="A115" s="107" t="s">
        <v>1392</v>
      </c>
      <c r="B115" s="19" t="s">
        <v>1393</v>
      </c>
      <c r="C115" s="102"/>
      <c r="D115" s="103"/>
      <c r="E115" s="103">
        <f>E116</f>
        <v>0</v>
      </c>
      <c r="F115" s="103">
        <f>F116</f>
        <v>1173357.23</v>
      </c>
      <c r="G115" s="222"/>
      <c r="I115" s="233"/>
      <c r="J115" s="233">
        <v>1173357.23</v>
      </c>
      <c r="K115" s="234">
        <f t="shared" si="3"/>
        <v>1173357.23</v>
      </c>
      <c r="L115" s="234"/>
    </row>
    <row r="116" spans="1:12" ht="64.5" customHeight="1">
      <c r="A116" s="122" t="s">
        <v>981</v>
      </c>
      <c r="B116" s="21" t="s">
        <v>1394</v>
      </c>
      <c r="C116" s="78">
        <v>400</v>
      </c>
      <c r="D116" s="79"/>
      <c r="E116" s="79"/>
      <c r="F116" s="79">
        <v>1173357.23</v>
      </c>
      <c r="G116" s="222"/>
      <c r="I116" s="233"/>
      <c r="J116" s="233">
        <v>1173357.23</v>
      </c>
      <c r="K116" s="234">
        <f t="shared" si="3"/>
        <v>1173357.23</v>
      </c>
      <c r="L116" s="234"/>
    </row>
    <row r="117" spans="1:12" ht="95.25" customHeight="1">
      <c r="A117" s="107" t="s">
        <v>1395</v>
      </c>
      <c r="B117" s="19" t="s">
        <v>1396</v>
      </c>
      <c r="C117" s="102"/>
      <c r="D117" s="103"/>
      <c r="E117" s="103">
        <f>E118</f>
        <v>0</v>
      </c>
      <c r="F117" s="103">
        <f>F118</f>
        <v>0</v>
      </c>
      <c r="G117" s="222"/>
      <c r="I117" s="233"/>
      <c r="J117" s="233">
        <v>0</v>
      </c>
      <c r="K117" s="234">
        <f t="shared" si="3"/>
        <v>0</v>
      </c>
      <c r="L117" s="234"/>
    </row>
    <row r="118" spans="1:12" ht="49.5" customHeight="1">
      <c r="A118" s="157" t="s">
        <v>1316</v>
      </c>
      <c r="B118" s="112" t="s">
        <v>1397</v>
      </c>
      <c r="C118" s="113">
        <v>400</v>
      </c>
      <c r="D118" s="114"/>
      <c r="E118" s="114"/>
      <c r="F118" s="114">
        <v>0</v>
      </c>
      <c r="G118" s="222"/>
      <c r="I118" s="233"/>
      <c r="J118" s="233">
        <v>0</v>
      </c>
      <c r="K118" s="234">
        <f t="shared" si="3"/>
        <v>0</v>
      </c>
      <c r="L118" s="234"/>
    </row>
    <row r="119" spans="1:12" ht="32.25" customHeight="1">
      <c r="A119" s="107" t="s">
        <v>1401</v>
      </c>
      <c r="B119" s="19" t="s">
        <v>1398</v>
      </c>
      <c r="C119" s="102"/>
      <c r="D119" s="103"/>
      <c r="E119" s="103">
        <f>E120</f>
        <v>0</v>
      </c>
      <c r="F119" s="103">
        <f>F120</f>
        <v>0</v>
      </c>
      <c r="G119" s="222"/>
      <c r="I119" s="233"/>
      <c r="J119" s="233">
        <v>0</v>
      </c>
      <c r="K119" s="234">
        <f t="shared" si="3"/>
        <v>0</v>
      </c>
      <c r="L119" s="234"/>
    </row>
    <row r="120" spans="1:12" ht="49.5" customHeight="1">
      <c r="A120" s="157" t="s">
        <v>1400</v>
      </c>
      <c r="B120" s="112" t="s">
        <v>1399</v>
      </c>
      <c r="C120" s="113">
        <v>400</v>
      </c>
      <c r="D120" s="114"/>
      <c r="E120" s="114"/>
      <c r="F120" s="114">
        <v>0</v>
      </c>
      <c r="G120" s="222"/>
      <c r="I120" s="233"/>
      <c r="J120" s="233">
        <v>0</v>
      </c>
      <c r="K120" s="234">
        <f t="shared" si="3"/>
        <v>0</v>
      </c>
      <c r="L120" s="234"/>
    </row>
    <row r="121" spans="1:12" ht="49.5" customHeight="1">
      <c r="A121" s="107" t="s">
        <v>1541</v>
      </c>
      <c r="B121" s="19" t="s">
        <v>1543</v>
      </c>
      <c r="C121" s="102"/>
      <c r="D121" s="103"/>
      <c r="E121" s="103">
        <f>E122</f>
        <v>-474534.6</v>
      </c>
      <c r="F121" s="103">
        <f>F122</f>
        <v>0</v>
      </c>
      <c r="G121" s="222"/>
      <c r="I121" s="233"/>
      <c r="J121" s="233">
        <v>474534.6</v>
      </c>
      <c r="K121" s="234">
        <f t="shared" si="3"/>
        <v>0</v>
      </c>
      <c r="L121" s="234"/>
    </row>
    <row r="122" spans="1:12" ht="65.25" customHeight="1">
      <c r="A122" s="157" t="s">
        <v>1542</v>
      </c>
      <c r="B122" s="112" t="s">
        <v>1544</v>
      </c>
      <c r="C122" s="113">
        <v>200</v>
      </c>
      <c r="D122" s="114"/>
      <c r="E122" s="114">
        <v>-474534.6</v>
      </c>
      <c r="F122" s="114">
        <v>0</v>
      </c>
      <c r="G122" s="222"/>
      <c r="I122" s="233"/>
      <c r="J122" s="233">
        <v>474534.6</v>
      </c>
      <c r="K122" s="234">
        <f t="shared" si="3"/>
        <v>0</v>
      </c>
      <c r="L122" s="234"/>
    </row>
    <row r="123" spans="1:12" ht="31.5">
      <c r="A123" s="120" t="s">
        <v>1251</v>
      </c>
      <c r="B123" s="22" t="s">
        <v>385</v>
      </c>
      <c r="C123" s="152"/>
      <c r="D123" s="124">
        <f>D124+D134</f>
        <v>442600</v>
      </c>
      <c r="E123" s="124">
        <f>E124+E134</f>
        <v>174492.09</v>
      </c>
      <c r="F123" s="124">
        <f>F124+F134+F144</f>
        <v>14315774.03</v>
      </c>
      <c r="G123" s="220" t="e">
        <f>G124+G134+G144</f>
        <v>#REF!</v>
      </c>
      <c r="I123" s="233">
        <v>15210469</v>
      </c>
      <c r="J123" s="233">
        <v>14141281.94</v>
      </c>
      <c r="K123" s="234">
        <f t="shared" si="3"/>
        <v>14315774.03</v>
      </c>
      <c r="L123" s="234"/>
    </row>
    <row r="124" spans="1:12" ht="31.5">
      <c r="A124" s="121" t="s">
        <v>1274</v>
      </c>
      <c r="B124" s="19" t="s">
        <v>386</v>
      </c>
      <c r="C124" s="57"/>
      <c r="D124" s="80">
        <f>SUM(D126:D127)</f>
        <v>181000</v>
      </c>
      <c r="E124" s="80">
        <f>E125</f>
        <v>0</v>
      </c>
      <c r="F124" s="80">
        <f>F125+F132</f>
        <v>5088687.26</v>
      </c>
      <c r="G124" s="221" t="e">
        <f>G125+G132</f>
        <v>#REF!</v>
      </c>
      <c r="I124" s="233">
        <v>5572460.000000001</v>
      </c>
      <c r="J124" s="233">
        <v>5088687.26</v>
      </c>
      <c r="K124" s="234">
        <f t="shared" si="3"/>
        <v>5088687.26</v>
      </c>
      <c r="L124" s="234"/>
    </row>
    <row r="125" spans="1:12" ht="31.5">
      <c r="A125" s="121" t="s">
        <v>387</v>
      </c>
      <c r="B125" s="19" t="s">
        <v>388</v>
      </c>
      <c r="C125" s="57"/>
      <c r="D125" s="80"/>
      <c r="E125" s="80">
        <f>SUM(E126:E128)</f>
        <v>0</v>
      </c>
      <c r="F125" s="80">
        <f>SUM(F126:F130)</f>
        <v>4956687.26</v>
      </c>
      <c r="G125" s="221">
        <f>SUM(G126:G130)</f>
        <v>5380498.000000001</v>
      </c>
      <c r="I125" s="233">
        <v>5440460.000000001</v>
      </c>
      <c r="J125" s="233">
        <v>4956687.26</v>
      </c>
      <c r="K125" s="234">
        <f t="shared" si="3"/>
        <v>4956687.26</v>
      </c>
      <c r="L125" s="234"/>
    </row>
    <row r="126" spans="1:12" ht="66.75" customHeight="1">
      <c r="A126" s="59" t="s">
        <v>389</v>
      </c>
      <c r="B126" s="20" t="s">
        <v>390</v>
      </c>
      <c r="C126" s="58">
        <v>600</v>
      </c>
      <c r="D126" s="77">
        <v>-80600</v>
      </c>
      <c r="E126" s="77"/>
      <c r="F126" s="411">
        <v>3976717.26</v>
      </c>
      <c r="G126" s="222">
        <f>3998750-61700-14580.28</f>
        <v>3922469.72</v>
      </c>
      <c r="H126" s="145"/>
      <c r="I126" s="233">
        <v>3921863.72</v>
      </c>
      <c r="J126" s="233">
        <v>3976717.26</v>
      </c>
      <c r="K126" s="234">
        <f aca="true" t="shared" si="5" ref="K126:K190">J126+E126</f>
        <v>3976717.26</v>
      </c>
      <c r="L126" s="234"/>
    </row>
    <row r="127" spans="1:12" ht="82.5" customHeight="1">
      <c r="A127" s="156" t="s">
        <v>503</v>
      </c>
      <c r="B127" s="112" t="s">
        <v>391</v>
      </c>
      <c r="C127" s="113">
        <v>600</v>
      </c>
      <c r="D127" s="114">
        <v>261600</v>
      </c>
      <c r="E127" s="114"/>
      <c r="F127" s="183">
        <v>970170</v>
      </c>
      <c r="G127" s="226">
        <v>1443448</v>
      </c>
      <c r="H127" s="145"/>
      <c r="I127" s="233">
        <v>1503410</v>
      </c>
      <c r="J127" s="233">
        <v>970170</v>
      </c>
      <c r="K127" s="234">
        <f t="shared" si="5"/>
        <v>970170</v>
      </c>
      <c r="L127" s="234"/>
    </row>
    <row r="128" spans="1:12" ht="78.75">
      <c r="A128" s="59" t="s">
        <v>556</v>
      </c>
      <c r="B128" s="20" t="s">
        <v>557</v>
      </c>
      <c r="C128" s="58">
        <v>600</v>
      </c>
      <c r="D128" s="77"/>
      <c r="E128" s="169"/>
      <c r="F128" s="183">
        <v>9800</v>
      </c>
      <c r="G128" s="226">
        <v>14580.28</v>
      </c>
      <c r="H128" s="145"/>
      <c r="I128" s="233">
        <v>15186.28</v>
      </c>
      <c r="J128" s="233">
        <v>9800</v>
      </c>
      <c r="K128" s="234">
        <f t="shared" si="5"/>
        <v>9800</v>
      </c>
      <c r="L128" s="234"/>
    </row>
    <row r="129" spans="1:12" ht="64.5" customHeight="1">
      <c r="A129" s="156" t="s">
        <v>1104</v>
      </c>
      <c r="B129" s="20" t="s">
        <v>1106</v>
      </c>
      <c r="C129" s="58">
        <v>600</v>
      </c>
      <c r="D129" s="77"/>
      <c r="E129" s="77"/>
      <c r="F129" s="79">
        <v>0</v>
      </c>
      <c r="G129" s="225"/>
      <c r="I129" s="233"/>
      <c r="J129" s="233">
        <v>0</v>
      </c>
      <c r="K129" s="234">
        <f t="shared" si="5"/>
        <v>0</v>
      </c>
      <c r="L129" s="234"/>
    </row>
    <row r="130" spans="1:12" ht="65.25" customHeight="1">
      <c r="A130" s="156" t="s">
        <v>1098</v>
      </c>
      <c r="B130" s="20" t="s">
        <v>1107</v>
      </c>
      <c r="C130" s="58">
        <v>600</v>
      </c>
      <c r="D130" s="77"/>
      <c r="E130" s="77"/>
      <c r="F130" s="79">
        <v>0</v>
      </c>
      <c r="G130" s="225"/>
      <c r="I130" s="233"/>
      <c r="J130" s="233">
        <v>0</v>
      </c>
      <c r="K130" s="234">
        <f t="shared" si="5"/>
        <v>0</v>
      </c>
      <c r="L130" s="234"/>
    </row>
    <row r="131" spans="1:12" ht="49.5" customHeight="1">
      <c r="A131" s="156" t="s">
        <v>1133</v>
      </c>
      <c r="B131" s="20" t="s">
        <v>1126</v>
      </c>
      <c r="C131" s="58">
        <v>600</v>
      </c>
      <c r="D131" s="77"/>
      <c r="E131" s="77"/>
      <c r="F131" s="79">
        <v>0</v>
      </c>
      <c r="G131" s="225"/>
      <c r="I131" s="233"/>
      <c r="J131" s="233">
        <v>0</v>
      </c>
      <c r="K131" s="234">
        <f t="shared" si="5"/>
        <v>0</v>
      </c>
      <c r="L131" s="234"/>
    </row>
    <row r="132" spans="1:12" ht="33" customHeight="1">
      <c r="A132" s="121" t="s">
        <v>1227</v>
      </c>
      <c r="B132" s="19" t="s">
        <v>1218</v>
      </c>
      <c r="C132" s="57"/>
      <c r="D132" s="80"/>
      <c r="E132" s="80">
        <f>SUM(E133:E133)</f>
        <v>0</v>
      </c>
      <c r="F132" s="80">
        <f>SUM(F133:F133)</f>
        <v>132000</v>
      </c>
      <c r="G132" s="221" t="e">
        <f>#REF!</f>
        <v>#REF!</v>
      </c>
      <c r="I132" s="233">
        <v>132000</v>
      </c>
      <c r="J132" s="233">
        <v>132000</v>
      </c>
      <c r="K132" s="234">
        <f t="shared" si="5"/>
        <v>132000</v>
      </c>
      <c r="L132" s="234"/>
    </row>
    <row r="133" spans="1:12" ht="50.25" customHeight="1">
      <c r="A133" s="59" t="s">
        <v>1311</v>
      </c>
      <c r="B133" s="20" t="s">
        <v>1350</v>
      </c>
      <c r="C133" s="58">
        <v>600</v>
      </c>
      <c r="D133" s="77"/>
      <c r="E133" s="77"/>
      <c r="F133" s="169">
        <f>70300+61700</f>
        <v>132000</v>
      </c>
      <c r="G133" s="222"/>
      <c r="I133" s="233">
        <v>132000</v>
      </c>
      <c r="J133" s="233">
        <v>132000</v>
      </c>
      <c r="K133" s="234">
        <f t="shared" si="5"/>
        <v>132000</v>
      </c>
      <c r="L133" s="234"/>
    </row>
    <row r="134" spans="1:12" ht="31.5">
      <c r="A134" s="121" t="s">
        <v>392</v>
      </c>
      <c r="B134" s="19" t="s">
        <v>393</v>
      </c>
      <c r="C134" s="57"/>
      <c r="D134" s="80">
        <f>SUM(D136:D137)</f>
        <v>261600</v>
      </c>
      <c r="E134" s="80">
        <f>E135</f>
        <v>174492.09</v>
      </c>
      <c r="F134" s="80">
        <f>F135</f>
        <v>9101086.77</v>
      </c>
      <c r="G134" s="221">
        <f>G135</f>
        <v>9405923</v>
      </c>
      <c r="I134" s="233">
        <v>9512009</v>
      </c>
      <c r="J134" s="233">
        <v>8926594.68</v>
      </c>
      <c r="K134" s="234">
        <f t="shared" si="5"/>
        <v>9101086.77</v>
      </c>
      <c r="L134" s="234"/>
    </row>
    <row r="135" spans="1:12" ht="15.75">
      <c r="A135" s="121" t="s">
        <v>395</v>
      </c>
      <c r="B135" s="19" t="s">
        <v>394</v>
      </c>
      <c r="C135" s="57"/>
      <c r="D135" s="80"/>
      <c r="E135" s="80">
        <f>SUM(E136:E143)</f>
        <v>174492.09</v>
      </c>
      <c r="F135" s="80">
        <f>SUM(F136:F143)</f>
        <v>9101086.77</v>
      </c>
      <c r="G135" s="221">
        <f>SUM(G136:G142)</f>
        <v>9405923</v>
      </c>
      <c r="I135" s="233">
        <v>9512009</v>
      </c>
      <c r="J135" s="233">
        <v>8926594.68</v>
      </c>
      <c r="K135" s="234">
        <f t="shared" si="5"/>
        <v>9101086.77</v>
      </c>
      <c r="L135" s="234"/>
    </row>
    <row r="136" spans="1:12" ht="65.25" customHeight="1">
      <c r="A136" s="156" t="s">
        <v>396</v>
      </c>
      <c r="B136" s="112" t="s">
        <v>397</v>
      </c>
      <c r="C136" s="113">
        <v>600</v>
      </c>
      <c r="D136" s="114"/>
      <c r="E136" s="114"/>
      <c r="F136" s="169">
        <v>6600949.68</v>
      </c>
      <c r="G136" s="222">
        <f>6616718-26244.49</f>
        <v>6590473.51</v>
      </c>
      <c r="H136" s="145"/>
      <c r="I136" s="233">
        <v>6589401.51</v>
      </c>
      <c r="J136" s="233">
        <v>6600949.68</v>
      </c>
      <c r="K136" s="234">
        <f t="shared" si="5"/>
        <v>6600949.68</v>
      </c>
      <c r="L136" s="234"/>
    </row>
    <row r="137" spans="1:12" ht="81.75" customHeight="1">
      <c r="A137" s="156" t="s">
        <v>503</v>
      </c>
      <c r="B137" s="112" t="s">
        <v>398</v>
      </c>
      <c r="C137" s="113">
        <v>600</v>
      </c>
      <c r="D137" s="114">
        <v>261600</v>
      </c>
      <c r="E137" s="114"/>
      <c r="F137" s="183">
        <v>1746305</v>
      </c>
      <c r="G137" s="226">
        <v>2598205</v>
      </c>
      <c r="H137" s="145"/>
      <c r="I137" s="233">
        <v>2704291</v>
      </c>
      <c r="J137" s="233">
        <v>1746305</v>
      </c>
      <c r="K137" s="234">
        <f t="shared" si="5"/>
        <v>1746305</v>
      </c>
      <c r="L137" s="234"/>
    </row>
    <row r="138" spans="1:12" ht="78.75">
      <c r="A138" s="156" t="s">
        <v>556</v>
      </c>
      <c r="B138" s="112" t="s">
        <v>558</v>
      </c>
      <c r="C138" s="113">
        <v>600</v>
      </c>
      <c r="D138" s="114"/>
      <c r="E138" s="169"/>
      <c r="F138" s="183">
        <v>17640</v>
      </c>
      <c r="G138" s="222">
        <v>26244.49</v>
      </c>
      <c r="H138" s="145"/>
      <c r="I138" s="233">
        <v>27316.49</v>
      </c>
      <c r="J138" s="233">
        <v>17640</v>
      </c>
      <c r="K138" s="234">
        <f t="shared" si="5"/>
        <v>17640</v>
      </c>
      <c r="L138" s="234"/>
    </row>
    <row r="139" spans="1:12" ht="63" customHeight="1">
      <c r="A139" s="156" t="s">
        <v>1100</v>
      </c>
      <c r="B139" s="112" t="s">
        <v>1109</v>
      </c>
      <c r="C139" s="113">
        <v>600</v>
      </c>
      <c r="D139" s="114"/>
      <c r="E139" s="114"/>
      <c r="F139" s="169">
        <v>496600</v>
      </c>
      <c r="G139" s="222">
        <v>191000</v>
      </c>
      <c r="I139" s="233">
        <v>191000</v>
      </c>
      <c r="J139" s="233">
        <v>496600</v>
      </c>
      <c r="K139" s="234">
        <f t="shared" si="5"/>
        <v>496600</v>
      </c>
      <c r="L139" s="234"/>
    </row>
    <row r="140" spans="1:12" ht="65.25" customHeight="1">
      <c r="A140" s="156" t="s">
        <v>1102</v>
      </c>
      <c r="B140" s="112" t="s">
        <v>1108</v>
      </c>
      <c r="C140" s="113">
        <v>600</v>
      </c>
      <c r="D140" s="114"/>
      <c r="E140" s="114">
        <v>174492.09</v>
      </c>
      <c r="F140" s="114">
        <v>174492.09</v>
      </c>
      <c r="G140" s="222"/>
      <c r="I140" s="233"/>
      <c r="J140" s="233">
        <v>0</v>
      </c>
      <c r="K140" s="234">
        <f t="shared" si="5"/>
        <v>174492.09</v>
      </c>
      <c r="L140" s="234"/>
    </row>
    <row r="141" spans="1:12" ht="48" customHeight="1">
      <c r="A141" s="156" t="s">
        <v>1134</v>
      </c>
      <c r="B141" s="112" t="s">
        <v>1128</v>
      </c>
      <c r="C141" s="113">
        <v>600</v>
      </c>
      <c r="D141" s="114"/>
      <c r="E141" s="114"/>
      <c r="F141" s="114">
        <v>0</v>
      </c>
      <c r="G141" s="222"/>
      <c r="I141" s="233"/>
      <c r="J141" s="233">
        <v>0</v>
      </c>
      <c r="K141" s="234">
        <f t="shared" si="5"/>
        <v>0</v>
      </c>
      <c r="L141" s="234"/>
    </row>
    <row r="142" spans="1:12" ht="49.5" customHeight="1" hidden="1">
      <c r="A142" s="156" t="s">
        <v>545</v>
      </c>
      <c r="B142" s="112" t="s">
        <v>739</v>
      </c>
      <c r="C142" s="113">
        <v>600</v>
      </c>
      <c r="D142" s="114"/>
      <c r="E142" s="114"/>
      <c r="F142" s="114"/>
      <c r="G142" s="224"/>
      <c r="I142" s="233"/>
      <c r="K142" s="234">
        <f t="shared" si="5"/>
        <v>0</v>
      </c>
      <c r="L142" s="234"/>
    </row>
    <row r="143" spans="1:12" ht="53.25" customHeight="1">
      <c r="A143" s="156" t="s">
        <v>1556</v>
      </c>
      <c r="B143" s="112" t="s">
        <v>1567</v>
      </c>
      <c r="C143" s="113">
        <v>600</v>
      </c>
      <c r="D143" s="114"/>
      <c r="E143" s="114"/>
      <c r="F143" s="114">
        <v>65100</v>
      </c>
      <c r="G143" s="224"/>
      <c r="I143" s="233"/>
      <c r="J143" s="233">
        <v>65100</v>
      </c>
      <c r="K143" s="234">
        <f t="shared" si="5"/>
        <v>65100</v>
      </c>
      <c r="L143" s="234"/>
    </row>
    <row r="144" spans="1:12" ht="18" customHeight="1">
      <c r="A144" s="121" t="s">
        <v>1219</v>
      </c>
      <c r="B144" s="19" t="s">
        <v>1220</v>
      </c>
      <c r="C144" s="57"/>
      <c r="D144" s="80" t="e">
        <f>SUM(D146:D147)</f>
        <v>#REF!</v>
      </c>
      <c r="E144" s="80">
        <f>E145</f>
        <v>0</v>
      </c>
      <c r="F144" s="80">
        <f>F145</f>
        <v>126000</v>
      </c>
      <c r="G144" s="221" t="e">
        <f>G145</f>
        <v>#REF!</v>
      </c>
      <c r="I144" s="233">
        <v>126000</v>
      </c>
      <c r="J144" s="233">
        <v>126000</v>
      </c>
      <c r="K144" s="234">
        <f t="shared" si="5"/>
        <v>126000</v>
      </c>
      <c r="L144" s="234"/>
    </row>
    <row r="145" spans="1:12" ht="19.5" customHeight="1">
      <c r="A145" s="121" t="s">
        <v>1250</v>
      </c>
      <c r="B145" s="19" t="s">
        <v>1221</v>
      </c>
      <c r="C145" s="57"/>
      <c r="D145" s="80"/>
      <c r="E145" s="80">
        <f>E146</f>
        <v>0</v>
      </c>
      <c r="F145" s="80">
        <f>F146</f>
        <v>126000</v>
      </c>
      <c r="G145" s="221" t="e">
        <f>#REF!</f>
        <v>#REF!</v>
      </c>
      <c r="I145" s="233">
        <v>126000</v>
      </c>
      <c r="J145" s="233">
        <v>126000</v>
      </c>
      <c r="K145" s="234">
        <f t="shared" si="5"/>
        <v>126000</v>
      </c>
      <c r="L145" s="234"/>
    </row>
    <row r="146" spans="1:12" ht="48" customHeight="1">
      <c r="A146" s="156" t="s">
        <v>1502</v>
      </c>
      <c r="B146" s="112" t="s">
        <v>1515</v>
      </c>
      <c r="C146" s="113">
        <v>200</v>
      </c>
      <c r="D146" s="114"/>
      <c r="E146" s="114"/>
      <c r="F146" s="181">
        <v>126000</v>
      </c>
      <c r="G146" s="222"/>
      <c r="I146" s="233">
        <v>126000</v>
      </c>
      <c r="J146" s="233">
        <v>126000</v>
      </c>
      <c r="K146" s="234">
        <f t="shared" si="5"/>
        <v>126000</v>
      </c>
      <c r="L146" s="234"/>
    </row>
    <row r="147" spans="1:12" ht="47.25">
      <c r="A147" s="120" t="s">
        <v>643</v>
      </c>
      <c r="B147" s="22" t="s">
        <v>399</v>
      </c>
      <c r="C147" s="152"/>
      <c r="D147" s="124" t="e">
        <f>D148+D154+D166+#REF!</f>
        <v>#REF!</v>
      </c>
      <c r="E147" s="124">
        <f>E148+E154+E166+E169+E174+E180+E184</f>
        <v>3410162.12</v>
      </c>
      <c r="F147" s="124">
        <f>F148+F154+F166+F169+F174+F180+F184</f>
        <v>31024161.330000002</v>
      </c>
      <c r="G147" s="220">
        <f>G148+G154+G166+G169+G174+G180+G184</f>
        <v>19219351.53</v>
      </c>
      <c r="H147" s="145">
        <f>F147-E147</f>
        <v>27613999.21</v>
      </c>
      <c r="I147" s="233">
        <v>34045438.94</v>
      </c>
      <c r="J147" s="233">
        <v>27613999.21</v>
      </c>
      <c r="K147" s="234">
        <f t="shared" si="5"/>
        <v>31024161.330000002</v>
      </c>
      <c r="L147" s="234"/>
    </row>
    <row r="148" spans="1:12" ht="31.5">
      <c r="A148" s="121" t="s">
        <v>400</v>
      </c>
      <c r="B148" s="19" t="s">
        <v>401</v>
      </c>
      <c r="C148" s="57"/>
      <c r="D148" s="80" t="e">
        <f>D153+#REF!+#REF!</f>
        <v>#REF!</v>
      </c>
      <c r="E148" s="80">
        <f>E149</f>
        <v>-419910.68</v>
      </c>
      <c r="F148" s="80">
        <f>F149</f>
        <v>2582354.96</v>
      </c>
      <c r="G148" s="221">
        <f>G149</f>
        <v>1959694.96</v>
      </c>
      <c r="H148" s="145"/>
      <c r="I148" s="233">
        <v>7461430.31</v>
      </c>
      <c r="J148" s="233">
        <v>3002265.64</v>
      </c>
      <c r="K148" s="234">
        <f t="shared" si="5"/>
        <v>2582354.96</v>
      </c>
      <c r="L148" s="234"/>
    </row>
    <row r="149" spans="1:12" ht="47.25" customHeight="1">
      <c r="A149" s="121" t="s">
        <v>402</v>
      </c>
      <c r="B149" s="19" t="s">
        <v>403</v>
      </c>
      <c r="C149" s="57"/>
      <c r="D149" s="80"/>
      <c r="E149" s="80">
        <f>SUM(E150:E153)</f>
        <v>-419910.68</v>
      </c>
      <c r="F149" s="80">
        <f>SUM(F150:F153)</f>
        <v>2582354.96</v>
      </c>
      <c r="G149" s="221">
        <f>SUM(G153:G153)</f>
        <v>1959694.96</v>
      </c>
      <c r="H149" s="145"/>
      <c r="I149" s="233">
        <v>7461430.31</v>
      </c>
      <c r="J149" s="233">
        <v>3002265.64</v>
      </c>
      <c r="K149" s="234">
        <f t="shared" si="5"/>
        <v>2582354.96</v>
      </c>
      <c r="L149" s="234"/>
    </row>
    <row r="150" spans="1:12" ht="63.75" customHeight="1">
      <c r="A150" s="156" t="s">
        <v>1382</v>
      </c>
      <c r="B150" s="112" t="s">
        <v>1361</v>
      </c>
      <c r="C150" s="113">
        <v>400</v>
      </c>
      <c r="D150" s="114"/>
      <c r="E150" s="114"/>
      <c r="F150" s="114">
        <v>0</v>
      </c>
      <c r="G150" s="221"/>
      <c r="H150" s="145"/>
      <c r="I150" s="233">
        <v>5501735.35</v>
      </c>
      <c r="J150" s="233">
        <v>0</v>
      </c>
      <c r="K150" s="234">
        <f t="shared" si="5"/>
        <v>0</v>
      </c>
      <c r="L150" s="234"/>
    </row>
    <row r="151" spans="1:12" ht="127.5" customHeight="1">
      <c r="A151" s="156" t="s">
        <v>1597</v>
      </c>
      <c r="B151" s="112" t="s">
        <v>1598</v>
      </c>
      <c r="C151" s="113">
        <v>400</v>
      </c>
      <c r="D151" s="114"/>
      <c r="E151" s="114"/>
      <c r="F151" s="114">
        <v>404040.4</v>
      </c>
      <c r="G151" s="221"/>
      <c r="H151" s="145"/>
      <c r="I151" s="233"/>
      <c r="J151" s="233">
        <v>404040.4</v>
      </c>
      <c r="K151" s="234">
        <f t="shared" si="5"/>
        <v>404040.4</v>
      </c>
      <c r="L151" s="234"/>
    </row>
    <row r="152" spans="1:12" ht="51" customHeight="1">
      <c r="A152" s="60" t="s">
        <v>590</v>
      </c>
      <c r="B152" s="20" t="s">
        <v>404</v>
      </c>
      <c r="C152" s="58">
        <v>200</v>
      </c>
      <c r="D152" s="77">
        <v>-220000</v>
      </c>
      <c r="E152" s="77">
        <v>-419910.68</v>
      </c>
      <c r="F152" s="114">
        <v>2114817.27</v>
      </c>
      <c r="G152" s="222">
        <v>1959694.96</v>
      </c>
      <c r="H152" s="145"/>
      <c r="I152" s="233">
        <v>1959694.96</v>
      </c>
      <c r="J152" s="233">
        <v>2534727.95</v>
      </c>
      <c r="K152" s="234">
        <f t="shared" si="5"/>
        <v>2114817.27</v>
      </c>
      <c r="L152" s="234"/>
    </row>
    <row r="153" spans="1:12" ht="53.25" customHeight="1">
      <c r="A153" s="60" t="s">
        <v>1548</v>
      </c>
      <c r="B153" s="20" t="s">
        <v>404</v>
      </c>
      <c r="C153" s="58">
        <v>400</v>
      </c>
      <c r="D153" s="77">
        <v>-220000</v>
      </c>
      <c r="E153" s="77"/>
      <c r="F153" s="77">
        <v>63497.29</v>
      </c>
      <c r="G153" s="222">
        <v>1959694.96</v>
      </c>
      <c r="H153" s="145"/>
      <c r="I153" s="233">
        <v>1959694.96</v>
      </c>
      <c r="J153" s="233">
        <v>63497.29</v>
      </c>
      <c r="K153" s="234">
        <f t="shared" si="5"/>
        <v>63497.29</v>
      </c>
      <c r="L153" s="234"/>
    </row>
    <row r="154" spans="1:12" ht="66" customHeight="1">
      <c r="A154" s="121" t="s">
        <v>657</v>
      </c>
      <c r="B154" s="19" t="s">
        <v>405</v>
      </c>
      <c r="C154" s="57"/>
      <c r="D154" s="80" t="e">
        <f>#REF!+D164+#REF!+#REF!+#REF!</f>
        <v>#REF!</v>
      </c>
      <c r="E154" s="80">
        <f>E155+E163</f>
        <v>3656749.93</v>
      </c>
      <c r="F154" s="80">
        <f>F155+F163</f>
        <v>16065978.75</v>
      </c>
      <c r="G154" s="221">
        <f>G155+G163</f>
        <v>9034680.35</v>
      </c>
      <c r="H154" s="145">
        <f>F154-E154</f>
        <v>12409228.82</v>
      </c>
      <c r="I154" s="233">
        <v>17237064.05</v>
      </c>
      <c r="J154" s="233">
        <v>12409228.82</v>
      </c>
      <c r="K154" s="234">
        <f t="shared" si="5"/>
        <v>16065978.75</v>
      </c>
      <c r="L154" s="234"/>
    </row>
    <row r="155" spans="1:12" ht="63" customHeight="1">
      <c r="A155" s="121" t="s">
        <v>876</v>
      </c>
      <c r="B155" s="19" t="s">
        <v>406</v>
      </c>
      <c r="C155" s="57"/>
      <c r="D155" s="80"/>
      <c r="E155" s="80">
        <f>SUM(E156:E162)</f>
        <v>3772585.93</v>
      </c>
      <c r="F155" s="103">
        <f>SUM(F156:F162)</f>
        <v>14222814.75</v>
      </c>
      <c r="G155" s="223">
        <f>SUM(G156:G162)</f>
        <v>7434680.35</v>
      </c>
      <c r="H155" s="145">
        <f>F155-E155</f>
        <v>10450228.82</v>
      </c>
      <c r="I155" s="246">
        <v>15548064.05</v>
      </c>
      <c r="J155" s="233">
        <v>10450228.82</v>
      </c>
      <c r="K155" s="234">
        <f t="shared" si="5"/>
        <v>14222814.75</v>
      </c>
      <c r="L155" s="234"/>
    </row>
    <row r="156" spans="1:12" ht="67.5" customHeight="1">
      <c r="A156" s="156" t="s">
        <v>648</v>
      </c>
      <c r="B156" s="112" t="s">
        <v>650</v>
      </c>
      <c r="C156" s="113">
        <v>200</v>
      </c>
      <c r="D156" s="114"/>
      <c r="E156" s="114"/>
      <c r="F156" s="114">
        <v>1648520.4899999998</v>
      </c>
      <c r="G156" s="222">
        <v>1761044.73</v>
      </c>
      <c r="H156" s="130"/>
      <c r="I156" s="246">
        <v>915886.76</v>
      </c>
      <c r="J156" s="233">
        <v>1648520.4899999998</v>
      </c>
      <c r="K156" s="234">
        <f t="shared" si="5"/>
        <v>1648520.4899999998</v>
      </c>
      <c r="L156" s="234"/>
    </row>
    <row r="157" spans="1:12" ht="67.5" customHeight="1">
      <c r="A157" s="156" t="s">
        <v>1560</v>
      </c>
      <c r="B157" s="112" t="s">
        <v>650</v>
      </c>
      <c r="C157" s="113">
        <v>400</v>
      </c>
      <c r="D157" s="114"/>
      <c r="E157" s="114"/>
      <c r="F157" s="114">
        <v>4022355.2600000002</v>
      </c>
      <c r="G157" s="222"/>
      <c r="H157" s="130"/>
      <c r="I157" s="246"/>
      <c r="J157" s="233">
        <v>4022355.2600000002</v>
      </c>
      <c r="K157" s="234">
        <f t="shared" si="5"/>
        <v>4022355.2600000002</v>
      </c>
      <c r="L157" s="234"/>
    </row>
    <row r="158" spans="1:12" ht="66" customHeight="1">
      <c r="A158" s="156" t="s">
        <v>636</v>
      </c>
      <c r="B158" s="112" t="s">
        <v>651</v>
      </c>
      <c r="C158" s="113">
        <v>200</v>
      </c>
      <c r="D158" s="114"/>
      <c r="E158" s="114">
        <v>772585.93</v>
      </c>
      <c r="F158" s="114">
        <v>4231939</v>
      </c>
      <c r="G158" s="222">
        <v>4353635.62</v>
      </c>
      <c r="H158" s="231"/>
      <c r="I158" s="246">
        <v>5159353.07</v>
      </c>
      <c r="J158" s="233">
        <v>3459353.07</v>
      </c>
      <c r="K158" s="234">
        <f t="shared" si="5"/>
        <v>4231939</v>
      </c>
      <c r="L158" s="234"/>
    </row>
    <row r="159" spans="1:12" ht="51.75" customHeight="1">
      <c r="A159" s="60" t="s">
        <v>1145</v>
      </c>
      <c r="B159" s="21" t="s">
        <v>1142</v>
      </c>
      <c r="C159" s="78">
        <v>200</v>
      </c>
      <c r="D159" s="79"/>
      <c r="E159" s="79"/>
      <c r="F159" s="79">
        <v>0</v>
      </c>
      <c r="G159" s="225"/>
      <c r="H159" s="130"/>
      <c r="I159" s="246"/>
      <c r="J159" s="233">
        <v>0</v>
      </c>
      <c r="K159" s="234">
        <f t="shared" si="5"/>
        <v>0</v>
      </c>
      <c r="L159" s="234"/>
    </row>
    <row r="160" spans="1:12" ht="51" customHeight="1">
      <c r="A160" s="60" t="s">
        <v>1146</v>
      </c>
      <c r="B160" s="21" t="s">
        <v>1143</v>
      </c>
      <c r="C160" s="78">
        <v>200</v>
      </c>
      <c r="D160" s="79"/>
      <c r="E160" s="79"/>
      <c r="F160" s="79">
        <v>0</v>
      </c>
      <c r="G160" s="225"/>
      <c r="H160" s="130"/>
      <c r="I160" s="246"/>
      <c r="J160" s="233">
        <v>0</v>
      </c>
      <c r="K160" s="234">
        <f t="shared" si="5"/>
        <v>0</v>
      </c>
      <c r="L160" s="234"/>
    </row>
    <row r="161" spans="1:12" ht="96" customHeight="1">
      <c r="A161" s="60" t="s">
        <v>1153</v>
      </c>
      <c r="B161" s="21" t="s">
        <v>1349</v>
      </c>
      <c r="C161" s="78">
        <v>800</v>
      </c>
      <c r="D161" s="79"/>
      <c r="E161" s="79">
        <v>3000000</v>
      </c>
      <c r="F161" s="79">
        <v>3000000</v>
      </c>
      <c r="G161" s="225"/>
      <c r="H161" s="247">
        <v>0</v>
      </c>
      <c r="I161" s="246">
        <v>5000000</v>
      </c>
      <c r="J161" s="233">
        <v>0</v>
      </c>
      <c r="K161" s="234">
        <f t="shared" si="5"/>
        <v>3000000</v>
      </c>
      <c r="L161" s="234"/>
    </row>
    <row r="162" spans="1:12" ht="95.25" customHeight="1">
      <c r="A162" s="60" t="s">
        <v>734</v>
      </c>
      <c r="B162" s="21" t="s">
        <v>733</v>
      </c>
      <c r="C162" s="78">
        <v>500</v>
      </c>
      <c r="D162" s="79"/>
      <c r="E162" s="79"/>
      <c r="F162" s="114">
        <v>1320000</v>
      </c>
      <c r="G162" s="222">
        <v>1320000</v>
      </c>
      <c r="H162" s="130"/>
      <c r="I162" s="246">
        <v>1320000</v>
      </c>
      <c r="J162" s="233">
        <v>1320000</v>
      </c>
      <c r="K162" s="234">
        <f t="shared" si="5"/>
        <v>1320000</v>
      </c>
      <c r="L162" s="234"/>
    </row>
    <row r="163" spans="1:12" ht="33.75" customHeight="1">
      <c r="A163" s="121" t="s">
        <v>877</v>
      </c>
      <c r="B163" s="19" t="s">
        <v>878</v>
      </c>
      <c r="C163" s="57"/>
      <c r="D163" s="80"/>
      <c r="E163" s="80">
        <f>SUM(E164:E165)</f>
        <v>-115836</v>
      </c>
      <c r="F163" s="80">
        <f>SUM(F164:F165)</f>
        <v>1843164</v>
      </c>
      <c r="G163" s="221">
        <f>SUM(G164:G165)</f>
        <v>1600000</v>
      </c>
      <c r="H163" s="130"/>
      <c r="I163" s="246">
        <v>1689000</v>
      </c>
      <c r="J163" s="233">
        <v>1959000</v>
      </c>
      <c r="K163" s="234">
        <f t="shared" si="5"/>
        <v>1843164</v>
      </c>
      <c r="L163" s="234"/>
    </row>
    <row r="164" spans="1:12" ht="47.25">
      <c r="A164" s="60" t="s">
        <v>591</v>
      </c>
      <c r="B164" s="21" t="s">
        <v>879</v>
      </c>
      <c r="C164" s="78">
        <v>200</v>
      </c>
      <c r="D164" s="79"/>
      <c r="E164" s="79">
        <v>-115836</v>
      </c>
      <c r="F164" s="114">
        <v>0</v>
      </c>
      <c r="G164" s="222">
        <v>115836</v>
      </c>
      <c r="H164" s="130"/>
      <c r="I164" s="246">
        <v>115836</v>
      </c>
      <c r="J164" s="233">
        <v>115836</v>
      </c>
      <c r="K164" s="234">
        <f t="shared" si="5"/>
        <v>0</v>
      </c>
      <c r="L164" s="234"/>
    </row>
    <row r="165" spans="1:12" ht="81.75" customHeight="1">
      <c r="A165" s="157" t="s">
        <v>647</v>
      </c>
      <c r="B165" s="112" t="s">
        <v>880</v>
      </c>
      <c r="C165" s="113">
        <v>200</v>
      </c>
      <c r="D165" s="114"/>
      <c r="E165" s="114"/>
      <c r="F165" s="114">
        <v>1843164</v>
      </c>
      <c r="G165" s="222">
        <v>1484164</v>
      </c>
      <c r="H165" s="145"/>
      <c r="I165" s="233">
        <v>1573164</v>
      </c>
      <c r="J165" s="233">
        <v>1843164</v>
      </c>
      <c r="K165" s="234">
        <f t="shared" si="5"/>
        <v>1843164</v>
      </c>
      <c r="L165" s="234"/>
    </row>
    <row r="166" spans="1:12" ht="31.5">
      <c r="A166" s="121" t="s">
        <v>659</v>
      </c>
      <c r="B166" s="19" t="s">
        <v>407</v>
      </c>
      <c r="C166" s="57"/>
      <c r="D166" s="80" t="e">
        <f>SUM(#REF!)</f>
        <v>#REF!</v>
      </c>
      <c r="E166" s="80">
        <f>E167</f>
        <v>0</v>
      </c>
      <c r="F166" s="80">
        <f>F167</f>
        <v>870313.5</v>
      </c>
      <c r="G166" s="221">
        <f>G167</f>
        <v>2394.7</v>
      </c>
      <c r="I166" s="233">
        <v>684205.2</v>
      </c>
      <c r="J166" s="233">
        <v>870313.5</v>
      </c>
      <c r="K166" s="234">
        <f t="shared" si="5"/>
        <v>870313.5</v>
      </c>
      <c r="L166" s="234"/>
    </row>
    <row r="167" spans="1:12" ht="15.75">
      <c r="A167" s="121" t="s">
        <v>409</v>
      </c>
      <c r="B167" s="19" t="s">
        <v>408</v>
      </c>
      <c r="C167" s="57"/>
      <c r="D167" s="80"/>
      <c r="E167" s="80">
        <f>SUM(E168:E168)</f>
        <v>0</v>
      </c>
      <c r="F167" s="80">
        <f>SUM(F168:F168)</f>
        <v>870313.5</v>
      </c>
      <c r="G167" s="221">
        <f>SUM(G168:G168)</f>
        <v>2394.7</v>
      </c>
      <c r="I167" s="233">
        <v>684205.2</v>
      </c>
      <c r="J167" s="233">
        <v>870313.5</v>
      </c>
      <c r="K167" s="234">
        <f t="shared" si="5"/>
        <v>870313.5</v>
      </c>
      <c r="L167" s="234"/>
    </row>
    <row r="168" spans="1:12" ht="47.25">
      <c r="A168" s="156" t="s">
        <v>955</v>
      </c>
      <c r="B168" s="112" t="s">
        <v>958</v>
      </c>
      <c r="C168" s="113">
        <v>300</v>
      </c>
      <c r="D168" s="114"/>
      <c r="E168" s="114"/>
      <c r="F168" s="114">
        <v>870313.5</v>
      </c>
      <c r="G168" s="222">
        <v>2394.7</v>
      </c>
      <c r="I168" s="233">
        <v>684205.2</v>
      </c>
      <c r="J168" s="233">
        <v>870313.5</v>
      </c>
      <c r="K168" s="234">
        <f t="shared" si="5"/>
        <v>870313.5</v>
      </c>
      <c r="L168" s="234"/>
    </row>
    <row r="169" spans="1:12" ht="31.5">
      <c r="A169" s="121" t="s">
        <v>893</v>
      </c>
      <c r="B169" s="19" t="s">
        <v>632</v>
      </c>
      <c r="C169" s="57"/>
      <c r="D169" s="80">
        <f>SUM(D171:D172)</f>
        <v>223500</v>
      </c>
      <c r="E169" s="80">
        <f>E170</f>
        <v>0</v>
      </c>
      <c r="F169" s="80">
        <f>F170</f>
        <v>2978103.62</v>
      </c>
      <c r="G169" s="221">
        <f>G170</f>
        <v>2978103.62</v>
      </c>
      <c r="I169" s="233">
        <v>3375354.95</v>
      </c>
      <c r="J169" s="233">
        <v>2978103.62</v>
      </c>
      <c r="K169" s="234">
        <f t="shared" si="5"/>
        <v>2978103.62</v>
      </c>
      <c r="L169" s="234"/>
    </row>
    <row r="170" spans="1:12" ht="32.25" customHeight="1">
      <c r="A170" s="121" t="s">
        <v>658</v>
      </c>
      <c r="B170" s="19" t="s">
        <v>633</v>
      </c>
      <c r="C170" s="57"/>
      <c r="D170" s="80"/>
      <c r="E170" s="80">
        <f>SUM(E171:E173)</f>
        <v>0</v>
      </c>
      <c r="F170" s="80">
        <f>SUM(F171:F173)</f>
        <v>2978103.62</v>
      </c>
      <c r="G170" s="221">
        <f>SUM(G171:G173)</f>
        <v>2978103.62</v>
      </c>
      <c r="I170" s="233">
        <v>3375354.95</v>
      </c>
      <c r="J170" s="233">
        <v>2978103.62</v>
      </c>
      <c r="K170" s="234">
        <f t="shared" si="5"/>
        <v>2978103.62</v>
      </c>
      <c r="L170" s="234"/>
    </row>
    <row r="171" spans="1:12" ht="47.25">
      <c r="A171" s="59" t="s">
        <v>1004</v>
      </c>
      <c r="B171" s="20" t="s">
        <v>652</v>
      </c>
      <c r="C171" s="58">
        <v>200</v>
      </c>
      <c r="D171" s="77">
        <v>223500</v>
      </c>
      <c r="E171" s="77"/>
      <c r="F171" s="181">
        <v>1546853.1</v>
      </c>
      <c r="G171" s="222">
        <v>1546853.1</v>
      </c>
      <c r="I171" s="233">
        <v>1546853.1</v>
      </c>
      <c r="J171" s="233">
        <v>1546853.1</v>
      </c>
      <c r="K171" s="234">
        <f t="shared" si="5"/>
        <v>1546853.1</v>
      </c>
      <c r="L171" s="234"/>
    </row>
    <row r="172" spans="1:12" ht="47.25">
      <c r="A172" s="59" t="s">
        <v>629</v>
      </c>
      <c r="B172" s="20" t="s">
        <v>653</v>
      </c>
      <c r="C172" s="58">
        <v>200</v>
      </c>
      <c r="D172" s="77"/>
      <c r="E172" s="77"/>
      <c r="F172" s="181">
        <v>1235573.6</v>
      </c>
      <c r="G172" s="222">
        <v>1235573.6</v>
      </c>
      <c r="H172" s="145"/>
      <c r="I172" s="233">
        <v>1632824.9300000002</v>
      </c>
      <c r="J172" s="233">
        <v>1235573.6</v>
      </c>
      <c r="K172" s="234">
        <f t="shared" si="5"/>
        <v>1235573.6</v>
      </c>
      <c r="L172" s="234"/>
    </row>
    <row r="173" spans="1:12" ht="63">
      <c r="A173" s="125" t="s">
        <v>1009</v>
      </c>
      <c r="B173" s="112" t="s">
        <v>1075</v>
      </c>
      <c r="C173" s="113">
        <v>800</v>
      </c>
      <c r="D173" s="77"/>
      <c r="E173" s="77"/>
      <c r="F173" s="181">
        <v>195676.92</v>
      </c>
      <c r="G173" s="222">
        <v>195676.92</v>
      </c>
      <c r="I173" s="233">
        <v>195676.92</v>
      </c>
      <c r="J173" s="233">
        <v>195676.92</v>
      </c>
      <c r="K173" s="234">
        <f t="shared" si="5"/>
        <v>195676.92</v>
      </c>
      <c r="L173" s="234"/>
    </row>
    <row r="174" spans="1:12" ht="49.5" customHeight="1">
      <c r="A174" s="121" t="s">
        <v>649</v>
      </c>
      <c r="B174" s="19" t="s">
        <v>634</v>
      </c>
      <c r="C174" s="57"/>
      <c r="D174" s="80">
        <f>SUM(D187:D188)</f>
        <v>0</v>
      </c>
      <c r="E174" s="80">
        <f>E175</f>
        <v>173322.87</v>
      </c>
      <c r="F174" s="80">
        <f>F175</f>
        <v>1166879.3</v>
      </c>
      <c r="G174" s="221">
        <f>G175</f>
        <v>950649.9</v>
      </c>
      <c r="H174" s="145">
        <f>F174-E174</f>
        <v>993556.43</v>
      </c>
      <c r="I174" s="233">
        <v>993556.43</v>
      </c>
      <c r="J174" s="233">
        <v>993556.43</v>
      </c>
      <c r="K174" s="234">
        <f t="shared" si="5"/>
        <v>1166879.3</v>
      </c>
      <c r="L174" s="234"/>
    </row>
    <row r="175" spans="1:12" ht="31.5">
      <c r="A175" s="121" t="s">
        <v>639</v>
      </c>
      <c r="B175" s="19" t="s">
        <v>635</v>
      </c>
      <c r="C175" s="57"/>
      <c r="D175" s="80"/>
      <c r="E175" s="80">
        <f>SUM(E176:E179)</f>
        <v>173322.87</v>
      </c>
      <c r="F175" s="103">
        <f>SUM(F176:F179)</f>
        <v>1166879.3</v>
      </c>
      <c r="G175" s="223">
        <f>SUM(G176:G179)</f>
        <v>950649.9</v>
      </c>
      <c r="H175" s="145">
        <f>F175-E175</f>
        <v>993556.43</v>
      </c>
      <c r="I175" s="233">
        <v>993556.43</v>
      </c>
      <c r="J175" s="233">
        <v>993556.43</v>
      </c>
      <c r="K175" s="234">
        <f t="shared" si="5"/>
        <v>1166879.3</v>
      </c>
      <c r="L175" s="234"/>
    </row>
    <row r="176" spans="1:12" s="146" customFormat="1" ht="78.75">
      <c r="A176" s="60" t="s">
        <v>721</v>
      </c>
      <c r="B176" s="112" t="s">
        <v>720</v>
      </c>
      <c r="C176" s="113">
        <v>500</v>
      </c>
      <c r="D176" s="114"/>
      <c r="E176" s="114"/>
      <c r="F176" s="114">
        <v>588736.43</v>
      </c>
      <c r="G176" s="222">
        <f>545675.05+154.85</f>
        <v>545829.9</v>
      </c>
      <c r="H176" s="114">
        <f>545675.05+154.85</f>
        <v>545829.9</v>
      </c>
      <c r="I176" s="245">
        <v>588736.43</v>
      </c>
      <c r="J176" s="245">
        <v>588736.43</v>
      </c>
      <c r="K176" s="234">
        <f t="shared" si="5"/>
        <v>588736.43</v>
      </c>
      <c r="L176" s="234"/>
    </row>
    <row r="177" spans="1:12" s="146" customFormat="1" ht="52.5" customHeight="1">
      <c r="A177" s="60" t="s">
        <v>1605</v>
      </c>
      <c r="B177" s="112" t="s">
        <v>1606</v>
      </c>
      <c r="C177" s="113">
        <v>200</v>
      </c>
      <c r="D177" s="114"/>
      <c r="E177" s="114">
        <v>173322.87</v>
      </c>
      <c r="F177" s="114">
        <v>173322.87</v>
      </c>
      <c r="G177" s="222"/>
      <c r="H177" s="509"/>
      <c r="I177" s="245"/>
      <c r="J177" s="245"/>
      <c r="K177" s="234"/>
      <c r="L177" s="234"/>
    </row>
    <row r="178" spans="1:12" s="146" customFormat="1" ht="52.5" customHeight="1">
      <c r="A178" s="60" t="s">
        <v>1147</v>
      </c>
      <c r="B178" s="112" t="s">
        <v>1144</v>
      </c>
      <c r="C178" s="113">
        <v>200</v>
      </c>
      <c r="D178" s="114"/>
      <c r="E178" s="114"/>
      <c r="F178" s="114">
        <v>0</v>
      </c>
      <c r="G178" s="222"/>
      <c r="I178" s="245"/>
      <c r="J178" s="245">
        <v>0</v>
      </c>
      <c r="K178" s="234">
        <f t="shared" si="5"/>
        <v>0</v>
      </c>
      <c r="L178" s="234"/>
    </row>
    <row r="179" spans="1:12" s="146" customFormat="1" ht="63">
      <c r="A179" s="125" t="s">
        <v>881</v>
      </c>
      <c r="B179" s="112" t="s">
        <v>655</v>
      </c>
      <c r="C179" s="113">
        <v>200</v>
      </c>
      <c r="D179" s="114"/>
      <c r="E179" s="114"/>
      <c r="F179" s="114">
        <v>404820</v>
      </c>
      <c r="G179" s="222">
        <v>404820</v>
      </c>
      <c r="I179" s="245">
        <v>404820</v>
      </c>
      <c r="J179" s="245">
        <v>404820</v>
      </c>
      <c r="K179" s="234">
        <f t="shared" si="5"/>
        <v>404820</v>
      </c>
      <c r="L179" s="234"/>
    </row>
    <row r="180" spans="1:12" s="146" customFormat="1" ht="31.5" customHeight="1">
      <c r="A180" s="121" t="s">
        <v>932</v>
      </c>
      <c r="B180" s="19" t="s">
        <v>894</v>
      </c>
      <c r="C180" s="102"/>
      <c r="D180" s="103"/>
      <c r="E180" s="103">
        <f>E181</f>
        <v>0</v>
      </c>
      <c r="F180" s="103">
        <f>F181</f>
        <v>0</v>
      </c>
      <c r="G180" s="223">
        <f>G181</f>
        <v>0</v>
      </c>
      <c r="I180" s="245">
        <v>0</v>
      </c>
      <c r="J180" s="245">
        <v>0</v>
      </c>
      <c r="K180" s="234">
        <f t="shared" si="5"/>
        <v>0</v>
      </c>
      <c r="L180" s="234"/>
    </row>
    <row r="181" spans="1:12" s="146" customFormat="1" ht="35.25" customHeight="1">
      <c r="A181" s="121" t="s">
        <v>933</v>
      </c>
      <c r="B181" s="19" t="s">
        <v>895</v>
      </c>
      <c r="C181" s="102"/>
      <c r="D181" s="103"/>
      <c r="E181" s="103">
        <f>E182+E183</f>
        <v>0</v>
      </c>
      <c r="F181" s="103">
        <f>F182+F183</f>
        <v>0</v>
      </c>
      <c r="G181" s="223">
        <f>G182+G183</f>
        <v>0</v>
      </c>
      <c r="I181" s="245">
        <v>0</v>
      </c>
      <c r="J181" s="245">
        <v>0</v>
      </c>
      <c r="K181" s="234">
        <f t="shared" si="5"/>
        <v>0</v>
      </c>
      <c r="L181" s="234"/>
    </row>
    <row r="182" spans="1:12" s="146" customFormat="1" ht="47.25">
      <c r="A182" s="125" t="s">
        <v>934</v>
      </c>
      <c r="B182" s="112" t="s">
        <v>935</v>
      </c>
      <c r="C182" s="113">
        <v>200</v>
      </c>
      <c r="D182" s="114"/>
      <c r="E182" s="114"/>
      <c r="F182" s="114">
        <v>0</v>
      </c>
      <c r="G182" s="222"/>
      <c r="I182" s="245"/>
      <c r="J182" s="245">
        <v>0</v>
      </c>
      <c r="K182" s="234">
        <f t="shared" si="5"/>
        <v>0</v>
      </c>
      <c r="L182" s="234"/>
    </row>
    <row r="183" spans="1:12" s="146" customFormat="1" ht="47.25">
      <c r="A183" s="125" t="s">
        <v>964</v>
      </c>
      <c r="B183" s="112" t="s">
        <v>992</v>
      </c>
      <c r="C183" s="113">
        <v>200</v>
      </c>
      <c r="D183" s="114"/>
      <c r="E183" s="114"/>
      <c r="F183" s="114">
        <v>0</v>
      </c>
      <c r="G183" s="222"/>
      <c r="I183" s="245"/>
      <c r="J183" s="245">
        <v>0</v>
      </c>
      <c r="K183" s="234">
        <f t="shared" si="5"/>
        <v>0</v>
      </c>
      <c r="L183" s="234"/>
    </row>
    <row r="184" spans="1:12" s="146" customFormat="1" ht="49.5" customHeight="1">
      <c r="A184" s="121" t="s">
        <v>1047</v>
      </c>
      <c r="B184" s="19" t="s">
        <v>1048</v>
      </c>
      <c r="C184" s="102"/>
      <c r="D184" s="114"/>
      <c r="E184" s="103">
        <f aca="true" t="shared" si="6" ref="E184:G185">E185</f>
        <v>0</v>
      </c>
      <c r="F184" s="103">
        <f t="shared" si="6"/>
        <v>7360531.2</v>
      </c>
      <c r="G184" s="223">
        <f t="shared" si="6"/>
        <v>4293828</v>
      </c>
      <c r="I184" s="245">
        <v>4293828</v>
      </c>
      <c r="J184" s="245">
        <v>7360531.2</v>
      </c>
      <c r="K184" s="234">
        <f t="shared" si="5"/>
        <v>7360531.2</v>
      </c>
      <c r="L184" s="234"/>
    </row>
    <row r="185" spans="1:12" s="146" customFormat="1" ht="50.25" customHeight="1">
      <c r="A185" s="121" t="s">
        <v>1049</v>
      </c>
      <c r="B185" s="19" t="s">
        <v>1050</v>
      </c>
      <c r="C185" s="102"/>
      <c r="D185" s="114"/>
      <c r="E185" s="103">
        <f t="shared" si="6"/>
        <v>0</v>
      </c>
      <c r="F185" s="103">
        <f t="shared" si="6"/>
        <v>7360531.2</v>
      </c>
      <c r="G185" s="223">
        <f t="shared" si="6"/>
        <v>4293828</v>
      </c>
      <c r="I185" s="245">
        <v>4293828</v>
      </c>
      <c r="J185" s="245">
        <v>7360531.2</v>
      </c>
      <c r="K185" s="234">
        <f t="shared" si="5"/>
        <v>7360531.2</v>
      </c>
      <c r="L185" s="234"/>
    </row>
    <row r="186" spans="1:12" s="146" customFormat="1" ht="77.25" customHeight="1">
      <c r="A186" s="191" t="s">
        <v>1005</v>
      </c>
      <c r="B186" s="112" t="s">
        <v>1162</v>
      </c>
      <c r="C186" s="113">
        <v>400</v>
      </c>
      <c r="D186" s="114"/>
      <c r="E186" s="114"/>
      <c r="F186" s="114">
        <v>7360531.2</v>
      </c>
      <c r="G186" s="222">
        <v>4293828</v>
      </c>
      <c r="I186" s="245">
        <v>4293828</v>
      </c>
      <c r="J186" s="245">
        <v>7360531.2</v>
      </c>
      <c r="K186" s="234">
        <f t="shared" si="5"/>
        <v>7360531.2</v>
      </c>
      <c r="L186" s="234"/>
    </row>
    <row r="187" spans="1:12" ht="31.5">
      <c r="A187" s="120" t="s">
        <v>644</v>
      </c>
      <c r="B187" s="22" t="s">
        <v>410</v>
      </c>
      <c r="C187" s="152"/>
      <c r="D187" s="124">
        <f>D188+D191</f>
        <v>0</v>
      </c>
      <c r="E187" s="124">
        <f>E188+E191</f>
        <v>0</v>
      </c>
      <c r="F187" s="124">
        <f>F188+F191</f>
        <v>863721</v>
      </c>
      <c r="G187" s="220">
        <f>G188+G191</f>
        <v>1068521</v>
      </c>
      <c r="I187" s="233">
        <v>1148421</v>
      </c>
      <c r="J187" s="233">
        <v>863721</v>
      </c>
      <c r="K187" s="234">
        <f t="shared" si="5"/>
        <v>863721</v>
      </c>
      <c r="L187" s="234"/>
    </row>
    <row r="188" spans="1:12" ht="31.5">
      <c r="A188" s="121" t="s">
        <v>660</v>
      </c>
      <c r="B188" s="19" t="s">
        <v>411</v>
      </c>
      <c r="C188" s="57"/>
      <c r="D188" s="80">
        <f>D190</f>
        <v>0</v>
      </c>
      <c r="E188" s="80">
        <f aca="true" t="shared" si="7" ref="E188:G189">E189</f>
        <v>0</v>
      </c>
      <c r="F188" s="80">
        <f t="shared" si="7"/>
        <v>250000</v>
      </c>
      <c r="G188" s="221">
        <f t="shared" si="7"/>
        <v>400000</v>
      </c>
      <c r="I188" s="233">
        <v>400000</v>
      </c>
      <c r="J188" s="233">
        <v>250000</v>
      </c>
      <c r="K188" s="234">
        <f t="shared" si="5"/>
        <v>250000</v>
      </c>
      <c r="L188" s="234"/>
    </row>
    <row r="189" spans="1:12" ht="31.5">
      <c r="A189" s="121" t="s">
        <v>416</v>
      </c>
      <c r="B189" s="19" t="s">
        <v>412</v>
      </c>
      <c r="C189" s="57"/>
      <c r="D189" s="80"/>
      <c r="E189" s="80">
        <f t="shared" si="7"/>
        <v>0</v>
      </c>
      <c r="F189" s="80">
        <f t="shared" si="7"/>
        <v>250000</v>
      </c>
      <c r="G189" s="221">
        <f t="shared" si="7"/>
        <v>400000</v>
      </c>
      <c r="I189" s="233">
        <v>400000</v>
      </c>
      <c r="J189" s="233">
        <v>250000</v>
      </c>
      <c r="K189" s="234">
        <f t="shared" si="5"/>
        <v>250000</v>
      </c>
      <c r="L189" s="234"/>
    </row>
    <row r="190" spans="1:12" ht="63">
      <c r="A190" s="59" t="s">
        <v>656</v>
      </c>
      <c r="B190" s="20" t="s">
        <v>413</v>
      </c>
      <c r="C190" s="58">
        <v>200</v>
      </c>
      <c r="D190" s="77"/>
      <c r="E190" s="77"/>
      <c r="F190" s="79">
        <v>250000</v>
      </c>
      <c r="G190" s="222">
        <v>400000</v>
      </c>
      <c r="I190" s="233">
        <v>400000</v>
      </c>
      <c r="J190" s="233">
        <v>250000</v>
      </c>
      <c r="K190" s="234">
        <f t="shared" si="5"/>
        <v>250000</v>
      </c>
      <c r="L190" s="234"/>
    </row>
    <row r="191" spans="1:12" ht="31.5">
      <c r="A191" s="121" t="s">
        <v>661</v>
      </c>
      <c r="B191" s="19" t="s">
        <v>414</v>
      </c>
      <c r="C191" s="57"/>
      <c r="D191" s="80">
        <f>D193</f>
        <v>0</v>
      </c>
      <c r="E191" s="80">
        <f>E192</f>
        <v>0</v>
      </c>
      <c r="F191" s="80">
        <f>F192</f>
        <v>613721</v>
      </c>
      <c r="G191" s="221">
        <f>G192</f>
        <v>668521</v>
      </c>
      <c r="I191" s="233">
        <v>748421</v>
      </c>
      <c r="J191" s="233">
        <v>613721</v>
      </c>
      <c r="K191" s="234">
        <f aca="true" t="shared" si="8" ref="K191:K254">J191+E191</f>
        <v>613721</v>
      </c>
      <c r="L191" s="234"/>
    </row>
    <row r="192" spans="1:12" ht="31.5">
      <c r="A192" s="121" t="s">
        <v>883</v>
      </c>
      <c r="B192" s="19" t="s">
        <v>415</v>
      </c>
      <c r="C192" s="57"/>
      <c r="D192" s="80"/>
      <c r="E192" s="80">
        <f>SUM(E193:E196)</f>
        <v>0</v>
      </c>
      <c r="F192" s="80">
        <f>SUM(F193:F196)</f>
        <v>613721</v>
      </c>
      <c r="G192" s="221">
        <f>G193+G196</f>
        <v>668521</v>
      </c>
      <c r="I192" s="233">
        <v>748421</v>
      </c>
      <c r="J192" s="233">
        <v>613721</v>
      </c>
      <c r="K192" s="234">
        <f t="shared" si="8"/>
        <v>613721</v>
      </c>
      <c r="L192" s="234"/>
    </row>
    <row r="193" spans="1:12" ht="51.75" customHeight="1">
      <c r="A193" s="59" t="s">
        <v>884</v>
      </c>
      <c r="B193" s="20" t="s">
        <v>417</v>
      </c>
      <c r="C193" s="58">
        <v>200</v>
      </c>
      <c r="D193" s="77"/>
      <c r="E193" s="77"/>
      <c r="F193" s="79">
        <v>164120</v>
      </c>
      <c r="G193" s="222">
        <v>167120</v>
      </c>
      <c r="H193" s="145"/>
      <c r="I193" s="233">
        <v>247020</v>
      </c>
      <c r="J193" s="233">
        <v>164120</v>
      </c>
      <c r="K193" s="234">
        <f t="shared" si="8"/>
        <v>164120</v>
      </c>
      <c r="L193" s="234"/>
    </row>
    <row r="194" spans="1:12" ht="82.5" customHeight="1">
      <c r="A194" s="60" t="s">
        <v>1559</v>
      </c>
      <c r="B194" s="20" t="s">
        <v>886</v>
      </c>
      <c r="C194" s="58">
        <v>100</v>
      </c>
      <c r="D194" s="77"/>
      <c r="E194" s="77"/>
      <c r="F194" s="79">
        <v>170000</v>
      </c>
      <c r="G194" s="222"/>
      <c r="H194" s="145"/>
      <c r="I194" s="233"/>
      <c r="J194" s="233">
        <v>170000</v>
      </c>
      <c r="K194" s="234">
        <f t="shared" si="8"/>
        <v>170000</v>
      </c>
      <c r="L194" s="234"/>
    </row>
    <row r="195" spans="1:12" ht="54.75" customHeight="1">
      <c r="A195" s="59" t="s">
        <v>1564</v>
      </c>
      <c r="B195" s="20" t="s">
        <v>886</v>
      </c>
      <c r="C195" s="58">
        <v>200</v>
      </c>
      <c r="D195" s="77"/>
      <c r="E195" s="77"/>
      <c r="F195" s="79">
        <v>279601</v>
      </c>
      <c r="G195" s="222"/>
      <c r="H195" s="243">
        <v>0</v>
      </c>
      <c r="I195" s="233">
        <v>256000</v>
      </c>
      <c r="J195" s="233">
        <v>279601</v>
      </c>
      <c r="K195" s="234">
        <f t="shared" si="8"/>
        <v>279601</v>
      </c>
      <c r="L195" s="234"/>
    </row>
    <row r="196" spans="1:12" ht="50.25" customHeight="1" hidden="1">
      <c r="A196" s="59" t="s">
        <v>885</v>
      </c>
      <c r="B196" s="20" t="s">
        <v>886</v>
      </c>
      <c r="C196" s="58">
        <v>200</v>
      </c>
      <c r="D196" s="77"/>
      <c r="E196" s="77"/>
      <c r="F196" s="114">
        <v>0</v>
      </c>
      <c r="G196" s="222">
        <v>501401</v>
      </c>
      <c r="H196" s="114">
        <v>501401</v>
      </c>
      <c r="I196" s="233">
        <v>245401</v>
      </c>
      <c r="J196" s="233">
        <v>0</v>
      </c>
      <c r="K196" s="234">
        <f t="shared" si="8"/>
        <v>0</v>
      </c>
      <c r="L196" s="234"/>
    </row>
    <row r="197" spans="1:12" ht="34.5" customHeight="1">
      <c r="A197" s="120" t="s">
        <v>645</v>
      </c>
      <c r="B197" s="22" t="s">
        <v>418</v>
      </c>
      <c r="C197" s="152"/>
      <c r="D197" s="124" t="e">
        <f>D198+D213+D249</f>
        <v>#REF!</v>
      </c>
      <c r="E197" s="124">
        <f>E198+E213+E249</f>
        <v>0</v>
      </c>
      <c r="F197" s="124">
        <f>F198+F213+F249</f>
        <v>241351628.13000003</v>
      </c>
      <c r="G197" s="220">
        <f>G198+G213+G249</f>
        <v>214368866.45999998</v>
      </c>
      <c r="H197" s="145">
        <f>F197-E197</f>
        <v>241351628.13000003</v>
      </c>
      <c r="I197" s="233">
        <v>225163280.45</v>
      </c>
      <c r="J197" s="233">
        <v>241351628.13000003</v>
      </c>
      <c r="K197" s="234">
        <f t="shared" si="8"/>
        <v>241351628.13000003</v>
      </c>
      <c r="L197" s="234"/>
    </row>
    <row r="198" spans="1:12" ht="33.75" customHeight="1">
      <c r="A198" s="121" t="s">
        <v>419</v>
      </c>
      <c r="B198" s="19" t="s">
        <v>420</v>
      </c>
      <c r="C198" s="57"/>
      <c r="D198" s="80">
        <f>SUM(D200:D212)</f>
        <v>5093368</v>
      </c>
      <c r="E198" s="80">
        <f>E199</f>
        <v>0</v>
      </c>
      <c r="F198" s="80">
        <f>F199</f>
        <v>83787635.43</v>
      </c>
      <c r="G198" s="221">
        <f>G199</f>
        <v>83993711.08</v>
      </c>
      <c r="H198" s="145">
        <f>F198-E198</f>
        <v>83787635.43</v>
      </c>
      <c r="I198" s="233">
        <v>84546510.08</v>
      </c>
      <c r="J198" s="233">
        <v>83787635.43</v>
      </c>
      <c r="K198" s="234">
        <f t="shared" si="8"/>
        <v>83787635.43</v>
      </c>
      <c r="L198" s="234"/>
    </row>
    <row r="199" spans="1:12" ht="34.5" customHeight="1">
      <c r="A199" s="121" t="s">
        <v>896</v>
      </c>
      <c r="B199" s="19" t="s">
        <v>421</v>
      </c>
      <c r="C199" s="57"/>
      <c r="D199" s="80"/>
      <c r="E199" s="80">
        <f>SUM(E200:E212)</f>
        <v>0</v>
      </c>
      <c r="F199" s="80">
        <f>SUM(F200:F212)</f>
        <v>83787635.43</v>
      </c>
      <c r="G199" s="221">
        <f>SUM(G200:G212)</f>
        <v>83993711.08</v>
      </c>
      <c r="H199" s="145">
        <f>F199-E199</f>
        <v>83787635.43</v>
      </c>
      <c r="I199" s="233">
        <v>84546510.08</v>
      </c>
      <c r="J199" s="233">
        <v>83787635.43</v>
      </c>
      <c r="K199" s="234">
        <f t="shared" si="8"/>
        <v>83787635.43</v>
      </c>
      <c r="L199" s="234"/>
    </row>
    <row r="200" spans="1:12" ht="66" customHeight="1">
      <c r="A200" s="59" t="s">
        <v>422</v>
      </c>
      <c r="B200" s="20" t="s">
        <v>423</v>
      </c>
      <c r="C200" s="58">
        <v>600</v>
      </c>
      <c r="D200" s="77">
        <v>500000</v>
      </c>
      <c r="E200" s="77"/>
      <c r="F200" s="114">
        <v>3862937.59</v>
      </c>
      <c r="G200" s="224">
        <v>3747158.63</v>
      </c>
      <c r="I200" s="233">
        <v>3747158.63</v>
      </c>
      <c r="J200" s="233">
        <v>3862937.59</v>
      </c>
      <c r="K200" s="234">
        <f t="shared" si="8"/>
        <v>3862937.59</v>
      </c>
      <c r="L200" s="234"/>
    </row>
    <row r="201" spans="1:12" ht="97.5" customHeight="1">
      <c r="A201" s="59" t="s">
        <v>680</v>
      </c>
      <c r="B201" s="20" t="s">
        <v>688</v>
      </c>
      <c r="C201" s="58">
        <v>600</v>
      </c>
      <c r="D201" s="77"/>
      <c r="E201" s="114"/>
      <c r="F201" s="114">
        <f>19878770.72-2199440</f>
        <v>17679330.72</v>
      </c>
      <c r="G201" s="224">
        <v>16080915.61</v>
      </c>
      <c r="I201" s="233">
        <v>16080915.61</v>
      </c>
      <c r="J201" s="233">
        <v>17679330.72</v>
      </c>
      <c r="K201" s="234">
        <f t="shared" si="8"/>
        <v>17679330.72</v>
      </c>
      <c r="L201" s="234"/>
    </row>
    <row r="202" spans="1:12" ht="67.5" customHeight="1">
      <c r="A202" s="59" t="s">
        <v>1093</v>
      </c>
      <c r="B202" s="20" t="s">
        <v>1088</v>
      </c>
      <c r="C202" s="58">
        <v>600</v>
      </c>
      <c r="D202" s="77"/>
      <c r="E202" s="114"/>
      <c r="F202" s="114">
        <v>58706.01</v>
      </c>
      <c r="G202" s="222">
        <v>541760.24</v>
      </c>
      <c r="H202" s="114">
        <v>541760.24</v>
      </c>
      <c r="I202" s="233">
        <v>601760.24</v>
      </c>
      <c r="J202" s="233">
        <v>58706.01</v>
      </c>
      <c r="K202" s="234">
        <f t="shared" si="8"/>
        <v>58706.01</v>
      </c>
      <c r="L202" s="234"/>
    </row>
    <row r="203" spans="1:12" ht="81.75" customHeight="1">
      <c r="A203" s="59" t="s">
        <v>1252</v>
      </c>
      <c r="B203" s="20" t="s">
        <v>689</v>
      </c>
      <c r="C203" s="58">
        <v>600</v>
      </c>
      <c r="D203" s="77"/>
      <c r="E203" s="114"/>
      <c r="F203" s="114">
        <v>6897919.62</v>
      </c>
      <c r="G203" s="224">
        <v>6900121.97</v>
      </c>
      <c r="I203" s="233">
        <v>6900121.97</v>
      </c>
      <c r="J203" s="233">
        <v>6897919.62</v>
      </c>
      <c r="K203" s="234">
        <f t="shared" si="8"/>
        <v>6897919.62</v>
      </c>
      <c r="L203" s="234"/>
    </row>
    <row r="204" spans="1:12" ht="82.5" customHeight="1">
      <c r="A204" s="59" t="s">
        <v>682</v>
      </c>
      <c r="B204" s="20" t="s">
        <v>691</v>
      </c>
      <c r="C204" s="58">
        <v>600</v>
      </c>
      <c r="D204" s="77"/>
      <c r="E204" s="114"/>
      <c r="F204" s="114">
        <v>6487917.54</v>
      </c>
      <c r="G204" s="224">
        <v>6330351.98</v>
      </c>
      <c r="I204" s="233">
        <v>6330351.98</v>
      </c>
      <c r="J204" s="233">
        <v>6487917.54</v>
      </c>
      <c r="K204" s="234">
        <f t="shared" si="8"/>
        <v>6487917.54</v>
      </c>
      <c r="L204" s="234"/>
    </row>
    <row r="205" spans="1:12" ht="63">
      <c r="A205" s="59" t="s">
        <v>424</v>
      </c>
      <c r="B205" s="20" t="s">
        <v>425</v>
      </c>
      <c r="C205" s="58">
        <v>600</v>
      </c>
      <c r="D205" s="77"/>
      <c r="E205" s="114"/>
      <c r="F205" s="169">
        <v>7213340.75</v>
      </c>
      <c r="G205" s="224">
        <v>6856977.95</v>
      </c>
      <c r="I205" s="233">
        <v>6856977.95</v>
      </c>
      <c r="J205" s="233">
        <v>7213340.75</v>
      </c>
      <c r="K205" s="234">
        <f t="shared" si="8"/>
        <v>7213340.75</v>
      </c>
      <c r="L205" s="234"/>
    </row>
    <row r="206" spans="1:12" ht="66" customHeight="1">
      <c r="A206" s="59" t="s">
        <v>1094</v>
      </c>
      <c r="B206" s="20" t="s">
        <v>1089</v>
      </c>
      <c r="C206" s="58">
        <v>600</v>
      </c>
      <c r="D206" s="77"/>
      <c r="E206" s="176"/>
      <c r="F206" s="114"/>
      <c r="G206" s="222">
        <v>257000</v>
      </c>
      <c r="I206" s="233">
        <v>274220</v>
      </c>
      <c r="K206" s="234">
        <f t="shared" si="8"/>
        <v>0</v>
      </c>
      <c r="L206" s="234"/>
    </row>
    <row r="207" spans="1:12" ht="83.25" customHeight="1">
      <c r="A207" s="59" t="s">
        <v>1135</v>
      </c>
      <c r="B207" s="20" t="s">
        <v>1114</v>
      </c>
      <c r="C207" s="58">
        <v>600</v>
      </c>
      <c r="D207" s="77"/>
      <c r="E207" s="114"/>
      <c r="F207" s="114"/>
      <c r="G207" s="222"/>
      <c r="H207" s="240">
        <v>0</v>
      </c>
      <c r="I207" s="233">
        <v>25000</v>
      </c>
      <c r="K207" s="234">
        <f t="shared" si="8"/>
        <v>0</v>
      </c>
      <c r="L207" s="234"/>
    </row>
    <row r="208" spans="1:12" ht="48.75" customHeight="1">
      <c r="A208" s="59" t="s">
        <v>1136</v>
      </c>
      <c r="B208" s="20" t="s">
        <v>1117</v>
      </c>
      <c r="C208" s="58">
        <v>600</v>
      </c>
      <c r="D208" s="77"/>
      <c r="E208" s="77"/>
      <c r="F208" s="114"/>
      <c r="G208" s="222"/>
      <c r="I208" s="233"/>
      <c r="K208" s="234">
        <f t="shared" si="8"/>
        <v>0</v>
      </c>
      <c r="L208" s="234"/>
    </row>
    <row r="209" spans="1:12" ht="79.5" customHeight="1">
      <c r="A209" s="59" t="s">
        <v>983</v>
      </c>
      <c r="B209" s="20" t="s">
        <v>982</v>
      </c>
      <c r="C209" s="58">
        <v>600</v>
      </c>
      <c r="D209" s="77"/>
      <c r="E209" s="77"/>
      <c r="F209" s="114"/>
      <c r="G209" s="222"/>
      <c r="I209" s="233"/>
      <c r="K209" s="234">
        <f t="shared" si="8"/>
        <v>0</v>
      </c>
      <c r="L209" s="234"/>
    </row>
    <row r="210" spans="1:12" ht="126.75" customHeight="1">
      <c r="A210" s="432" t="s">
        <v>708</v>
      </c>
      <c r="B210" s="112" t="s">
        <v>427</v>
      </c>
      <c r="C210" s="113">
        <v>600</v>
      </c>
      <c r="D210" s="114">
        <v>-875880</v>
      </c>
      <c r="E210" s="114"/>
      <c r="F210" s="114">
        <v>372615</v>
      </c>
      <c r="G210" s="222">
        <v>298092</v>
      </c>
      <c r="I210" s="233">
        <v>298092</v>
      </c>
      <c r="J210" s="233">
        <v>372615</v>
      </c>
      <c r="K210" s="234">
        <f t="shared" si="8"/>
        <v>372615</v>
      </c>
      <c r="L210" s="234"/>
    </row>
    <row r="211" spans="1:12" ht="93" customHeight="1">
      <c r="A211" s="433" t="s">
        <v>707</v>
      </c>
      <c r="B211" s="112" t="s">
        <v>1230</v>
      </c>
      <c r="C211" s="113">
        <v>300</v>
      </c>
      <c r="D211" s="114"/>
      <c r="E211" s="114"/>
      <c r="F211" s="169">
        <v>693956.2</v>
      </c>
      <c r="G211" s="222">
        <v>1130892.7</v>
      </c>
      <c r="I211" s="233">
        <v>1130892.7</v>
      </c>
      <c r="J211" s="233">
        <v>693956.2</v>
      </c>
      <c r="K211" s="234">
        <f t="shared" si="8"/>
        <v>693956.2</v>
      </c>
      <c r="L211" s="234"/>
    </row>
    <row r="212" spans="1:12" ht="127.5" customHeight="1">
      <c r="A212" s="157" t="s">
        <v>1258</v>
      </c>
      <c r="B212" s="112" t="s">
        <v>428</v>
      </c>
      <c r="C212" s="113">
        <v>600</v>
      </c>
      <c r="D212" s="114">
        <v>5469248</v>
      </c>
      <c r="E212" s="114"/>
      <c r="F212" s="114">
        <v>40520912</v>
      </c>
      <c r="G212" s="224">
        <v>41850440</v>
      </c>
      <c r="H212" s="145"/>
      <c r="I212" s="233">
        <v>42301019</v>
      </c>
      <c r="J212" s="233">
        <v>40520912</v>
      </c>
      <c r="K212" s="234">
        <f t="shared" si="8"/>
        <v>40520912</v>
      </c>
      <c r="L212" s="234"/>
    </row>
    <row r="213" spans="1:12" ht="31.5">
      <c r="A213" s="107" t="s">
        <v>429</v>
      </c>
      <c r="B213" s="19" t="s">
        <v>430</v>
      </c>
      <c r="C213" s="57"/>
      <c r="D213" s="80">
        <f>SUM(D215:D244)</f>
        <v>987111</v>
      </c>
      <c r="E213" s="80">
        <f>E214+E247</f>
        <v>0</v>
      </c>
      <c r="F213" s="80">
        <f>F214+F247</f>
        <v>150989579.64000002</v>
      </c>
      <c r="G213" s="221">
        <f>G214+G247</f>
        <v>124310264.06</v>
      </c>
      <c r="H213" s="145">
        <f>F213-E213</f>
        <v>150989579.64000002</v>
      </c>
      <c r="I213" s="233">
        <v>134551879.05</v>
      </c>
      <c r="J213" s="233">
        <v>150989579.64000002</v>
      </c>
      <c r="K213" s="234">
        <f t="shared" si="8"/>
        <v>150989579.64000002</v>
      </c>
      <c r="L213" s="234"/>
    </row>
    <row r="214" spans="1:12" ht="50.25" customHeight="1">
      <c r="A214" s="159" t="s">
        <v>914</v>
      </c>
      <c r="B214" s="19" t="s">
        <v>431</v>
      </c>
      <c r="C214" s="57"/>
      <c r="D214" s="80"/>
      <c r="E214" s="80">
        <f>SUM(E215:E246)</f>
        <v>0</v>
      </c>
      <c r="F214" s="103">
        <f>SUM(F215:F246)</f>
        <v>150903742.64000002</v>
      </c>
      <c r="G214" s="223">
        <f>SUM(G215:G244)</f>
        <v>124158550.06</v>
      </c>
      <c r="H214" s="145">
        <f>F214-E214</f>
        <v>150903742.64000002</v>
      </c>
      <c r="I214" s="233">
        <v>134400165.05</v>
      </c>
      <c r="J214" s="233">
        <v>150903742.64000002</v>
      </c>
      <c r="K214" s="234">
        <f t="shared" si="8"/>
        <v>150903742.64000002</v>
      </c>
      <c r="L214" s="234"/>
    </row>
    <row r="215" spans="1:12" ht="63">
      <c r="A215" s="63" t="s">
        <v>432</v>
      </c>
      <c r="B215" s="20" t="s">
        <v>433</v>
      </c>
      <c r="C215" s="58">
        <v>600</v>
      </c>
      <c r="D215" s="77"/>
      <c r="E215" s="114"/>
      <c r="F215" s="114">
        <v>5964827.899999999</v>
      </c>
      <c r="G215" s="224">
        <v>6204730.76</v>
      </c>
      <c r="I215" s="233">
        <v>6204730.76</v>
      </c>
      <c r="J215" s="233">
        <v>5964827.899999999</v>
      </c>
      <c r="K215" s="234">
        <f t="shared" si="8"/>
        <v>5964827.899999999</v>
      </c>
      <c r="L215" s="234"/>
    </row>
    <row r="216" spans="1:12" ht="96.75" customHeight="1">
      <c r="A216" s="63" t="s">
        <v>684</v>
      </c>
      <c r="B216" s="20" t="s">
        <v>692</v>
      </c>
      <c r="C216" s="58">
        <v>600</v>
      </c>
      <c r="D216" s="77"/>
      <c r="E216" s="77"/>
      <c r="F216" s="114">
        <v>9686844.88</v>
      </c>
      <c r="G216" s="224">
        <v>8414240.49</v>
      </c>
      <c r="I216" s="233">
        <v>8414240.49</v>
      </c>
      <c r="J216" s="233">
        <v>9686844.88</v>
      </c>
      <c r="K216" s="234">
        <f t="shared" si="8"/>
        <v>9686844.88</v>
      </c>
      <c r="L216" s="234"/>
    </row>
    <row r="217" spans="1:12" ht="78.75">
      <c r="A217" s="63" t="s">
        <v>685</v>
      </c>
      <c r="B217" s="20" t="s">
        <v>693</v>
      </c>
      <c r="C217" s="58">
        <v>600</v>
      </c>
      <c r="D217" s="77"/>
      <c r="E217" s="77"/>
      <c r="F217" s="114">
        <v>7532485.85</v>
      </c>
      <c r="G217" s="224">
        <v>7229704.11</v>
      </c>
      <c r="I217" s="233">
        <v>7229704.11</v>
      </c>
      <c r="J217" s="233">
        <v>7532485.85</v>
      </c>
      <c r="K217" s="234">
        <f t="shared" si="8"/>
        <v>7532485.85</v>
      </c>
      <c r="L217" s="234"/>
    </row>
    <row r="218" spans="1:12" ht="78.75" customHeight="1">
      <c r="A218" s="63" t="s">
        <v>687</v>
      </c>
      <c r="B218" s="20" t="s">
        <v>695</v>
      </c>
      <c r="C218" s="58">
        <v>600</v>
      </c>
      <c r="D218" s="77"/>
      <c r="E218" s="129"/>
      <c r="F218" s="114">
        <f>6864666.73+2001759.23</f>
        <v>8866425.96</v>
      </c>
      <c r="G218" s="224">
        <v>6974286.92</v>
      </c>
      <c r="H218" s="145"/>
      <c r="I218" s="233">
        <v>7148726.92</v>
      </c>
      <c r="J218" s="233">
        <v>8866425.96</v>
      </c>
      <c r="K218" s="234">
        <f t="shared" si="8"/>
        <v>8866425.96</v>
      </c>
      <c r="L218" s="234"/>
    </row>
    <row r="219" spans="1:12" ht="66" customHeight="1">
      <c r="A219" s="63" t="s">
        <v>1095</v>
      </c>
      <c r="B219" s="20" t="s">
        <v>1090</v>
      </c>
      <c r="C219" s="58">
        <v>600</v>
      </c>
      <c r="D219" s="77"/>
      <c r="E219" s="129"/>
      <c r="F219" s="114">
        <v>1565448.57</v>
      </c>
      <c r="G219" s="222">
        <v>780353.93</v>
      </c>
      <c r="H219" s="114">
        <v>780353.93</v>
      </c>
      <c r="I219" s="233">
        <v>3674152.8200000003</v>
      </c>
      <c r="J219" s="233">
        <v>1565448.57</v>
      </c>
      <c r="K219" s="234">
        <f t="shared" si="8"/>
        <v>1565448.57</v>
      </c>
      <c r="L219" s="234"/>
    </row>
    <row r="220" spans="1:12" ht="65.25" customHeight="1">
      <c r="A220" s="63" t="s">
        <v>1096</v>
      </c>
      <c r="B220" s="20" t="s">
        <v>1091</v>
      </c>
      <c r="C220" s="58">
        <v>600</v>
      </c>
      <c r="D220" s="77"/>
      <c r="E220" s="77"/>
      <c r="F220" s="114">
        <v>69220</v>
      </c>
      <c r="G220" s="222">
        <v>100000</v>
      </c>
      <c r="H220" s="114">
        <v>100000</v>
      </c>
      <c r="I220" s="233">
        <v>132547</v>
      </c>
      <c r="J220" s="233">
        <v>69220</v>
      </c>
      <c r="K220" s="234">
        <f t="shared" si="8"/>
        <v>69220</v>
      </c>
      <c r="L220" s="234"/>
    </row>
    <row r="221" spans="1:12" ht="79.5" customHeight="1">
      <c r="A221" s="63" t="s">
        <v>1097</v>
      </c>
      <c r="B221" s="20" t="s">
        <v>1092</v>
      </c>
      <c r="C221" s="58">
        <v>600</v>
      </c>
      <c r="D221" s="77"/>
      <c r="E221" s="77"/>
      <c r="F221" s="114">
        <v>34508</v>
      </c>
      <c r="G221" s="222">
        <v>57807</v>
      </c>
      <c r="I221" s="233">
        <v>57807</v>
      </c>
      <c r="J221" s="233">
        <v>34508</v>
      </c>
      <c r="K221" s="234">
        <f t="shared" si="8"/>
        <v>34508</v>
      </c>
      <c r="L221" s="234"/>
    </row>
    <row r="222" spans="1:12" ht="48.75" customHeight="1">
      <c r="A222" s="63" t="s">
        <v>1137</v>
      </c>
      <c r="B222" s="20" t="s">
        <v>1118</v>
      </c>
      <c r="C222" s="58">
        <v>600</v>
      </c>
      <c r="D222" s="77"/>
      <c r="E222" s="77"/>
      <c r="F222" s="114"/>
      <c r="G222" s="222"/>
      <c r="I222" s="233">
        <v>22760</v>
      </c>
      <c r="K222" s="234">
        <f t="shared" si="8"/>
        <v>0</v>
      </c>
      <c r="L222" s="234"/>
    </row>
    <row r="223" spans="1:12" ht="63" hidden="1">
      <c r="A223" s="122" t="s">
        <v>560</v>
      </c>
      <c r="B223" s="20" t="s">
        <v>561</v>
      </c>
      <c r="C223" s="58">
        <v>600</v>
      </c>
      <c r="D223" s="77"/>
      <c r="E223" s="77"/>
      <c r="F223" s="77"/>
      <c r="G223" s="224">
        <v>1744200</v>
      </c>
      <c r="H223" s="145"/>
      <c r="I223" s="233">
        <v>1734542.26</v>
      </c>
      <c r="K223" s="234">
        <f t="shared" si="8"/>
        <v>0</v>
      </c>
      <c r="L223" s="234"/>
    </row>
    <row r="224" spans="1:12" ht="66.75" customHeight="1" hidden="1">
      <c r="A224" s="63" t="s">
        <v>1326</v>
      </c>
      <c r="B224" s="20" t="s">
        <v>1319</v>
      </c>
      <c r="C224" s="58">
        <v>600</v>
      </c>
      <c r="D224" s="77"/>
      <c r="E224" s="77"/>
      <c r="F224" s="77"/>
      <c r="G224" s="224"/>
      <c r="H224" s="145"/>
      <c r="I224" s="233">
        <v>965773.74</v>
      </c>
      <c r="K224" s="234">
        <f t="shared" si="8"/>
        <v>0</v>
      </c>
      <c r="L224" s="234"/>
    </row>
    <row r="225" spans="1:12" ht="78.75" hidden="1">
      <c r="A225" s="158" t="s">
        <v>950</v>
      </c>
      <c r="B225" s="20" t="s">
        <v>949</v>
      </c>
      <c r="C225" s="58">
        <v>600</v>
      </c>
      <c r="D225" s="77"/>
      <c r="E225" s="131"/>
      <c r="F225" s="114"/>
      <c r="G225" s="222"/>
      <c r="I225" s="233"/>
      <c r="K225" s="234">
        <f t="shared" si="8"/>
        <v>0</v>
      </c>
      <c r="L225" s="234"/>
    </row>
    <row r="226" spans="1:12" ht="78.75">
      <c r="A226" s="63" t="s">
        <v>434</v>
      </c>
      <c r="B226" s="20" t="s">
        <v>435</v>
      </c>
      <c r="C226" s="58">
        <v>100</v>
      </c>
      <c r="D226" s="77"/>
      <c r="E226" s="77"/>
      <c r="F226" s="114">
        <v>8368672.09</v>
      </c>
      <c r="G226" s="224">
        <v>7609755.6</v>
      </c>
      <c r="H226" s="145"/>
      <c r="I226" s="233">
        <v>7632675.6</v>
      </c>
      <c r="J226" s="233">
        <v>8368672.09</v>
      </c>
      <c r="K226" s="234">
        <f t="shared" si="8"/>
        <v>8368672.09</v>
      </c>
      <c r="L226" s="234"/>
    </row>
    <row r="227" spans="1:12" ht="47.25">
      <c r="A227" s="63" t="s">
        <v>592</v>
      </c>
      <c r="B227" s="20" t="s">
        <v>435</v>
      </c>
      <c r="C227" s="58">
        <v>200</v>
      </c>
      <c r="D227" s="77">
        <v>-745000</v>
      </c>
      <c r="E227" s="114"/>
      <c r="F227" s="114">
        <v>9995336.74</v>
      </c>
      <c r="G227" s="224">
        <v>9971008.73</v>
      </c>
      <c r="I227" s="233">
        <v>9968008.73</v>
      </c>
      <c r="J227" s="233">
        <v>9995336.74</v>
      </c>
      <c r="K227" s="234">
        <f t="shared" si="8"/>
        <v>9995336.74</v>
      </c>
      <c r="L227" s="234"/>
    </row>
    <row r="228" spans="1:12" ht="36" customHeight="1">
      <c r="A228" s="63" t="s">
        <v>436</v>
      </c>
      <c r="B228" s="20" t="s">
        <v>435</v>
      </c>
      <c r="C228" s="58">
        <v>800</v>
      </c>
      <c r="D228" s="77"/>
      <c r="E228" s="114"/>
      <c r="F228" s="114">
        <v>178607.92</v>
      </c>
      <c r="G228" s="224">
        <v>202935.92</v>
      </c>
      <c r="I228" s="233">
        <v>232935.92</v>
      </c>
      <c r="J228" s="233">
        <v>178607.92</v>
      </c>
      <c r="K228" s="234">
        <f t="shared" si="8"/>
        <v>178607.92</v>
      </c>
      <c r="L228" s="234"/>
    </row>
    <row r="229" spans="1:12" ht="54.75" customHeight="1" hidden="1">
      <c r="A229" s="157" t="s">
        <v>1327</v>
      </c>
      <c r="B229" s="112" t="s">
        <v>1319</v>
      </c>
      <c r="C229" s="113">
        <v>200</v>
      </c>
      <c r="D229" s="114"/>
      <c r="E229" s="114"/>
      <c r="F229" s="114"/>
      <c r="G229" s="224"/>
      <c r="I229" s="233">
        <v>193156.26</v>
      </c>
      <c r="K229" s="234">
        <f t="shared" si="8"/>
        <v>0</v>
      </c>
      <c r="L229" s="234"/>
    </row>
    <row r="230" spans="1:12" ht="62.25" customHeight="1" hidden="1">
      <c r="A230" s="122" t="s">
        <v>593</v>
      </c>
      <c r="B230" s="20" t="s">
        <v>562</v>
      </c>
      <c r="C230" s="58">
        <v>200</v>
      </c>
      <c r="D230" s="77"/>
      <c r="E230" s="114"/>
      <c r="F230" s="77"/>
      <c r="G230" s="224">
        <v>323000</v>
      </c>
      <c r="H230" s="145"/>
      <c r="I230" s="233">
        <v>321068.44</v>
      </c>
      <c r="K230" s="234">
        <f t="shared" si="8"/>
        <v>0</v>
      </c>
      <c r="L230" s="234"/>
    </row>
    <row r="231" spans="1:12" ht="68.25" customHeight="1">
      <c r="A231" s="63" t="s">
        <v>594</v>
      </c>
      <c r="B231" s="20" t="s">
        <v>437</v>
      </c>
      <c r="C231" s="58">
        <v>200</v>
      </c>
      <c r="D231" s="77">
        <v>745000</v>
      </c>
      <c r="E231" s="114"/>
      <c r="F231" s="114">
        <v>1400000</v>
      </c>
      <c r="G231" s="224">
        <v>1400000</v>
      </c>
      <c r="I231" s="233">
        <v>1400000</v>
      </c>
      <c r="J231" s="233">
        <v>1400000</v>
      </c>
      <c r="K231" s="234">
        <f t="shared" si="8"/>
        <v>1400000</v>
      </c>
      <c r="L231" s="234"/>
    </row>
    <row r="232" spans="1:12" ht="95.25" customHeight="1">
      <c r="A232" s="157" t="s">
        <v>1582</v>
      </c>
      <c r="B232" s="20" t="s">
        <v>1318</v>
      </c>
      <c r="C232" s="58">
        <v>600</v>
      </c>
      <c r="D232" s="77"/>
      <c r="E232" s="114"/>
      <c r="F232" s="114">
        <v>1568893.82</v>
      </c>
      <c r="G232" s="224"/>
      <c r="I232" s="233">
        <v>2256684.1999999997</v>
      </c>
      <c r="J232" s="233">
        <v>1568893.82</v>
      </c>
      <c r="K232" s="234">
        <f t="shared" si="8"/>
        <v>1568893.82</v>
      </c>
      <c r="L232" s="234"/>
    </row>
    <row r="233" spans="1:14" ht="64.5" customHeight="1">
      <c r="A233" s="156" t="s">
        <v>1568</v>
      </c>
      <c r="B233" s="112" t="s">
        <v>1346</v>
      </c>
      <c r="C233" s="113">
        <v>200</v>
      </c>
      <c r="D233" s="114"/>
      <c r="E233" s="114"/>
      <c r="F233" s="114">
        <v>0</v>
      </c>
      <c r="G233" s="224"/>
      <c r="H233" s="247"/>
      <c r="I233" s="233"/>
      <c r="J233" s="233">
        <v>0</v>
      </c>
      <c r="K233" s="234">
        <f t="shared" si="8"/>
        <v>0</v>
      </c>
      <c r="L233" s="234"/>
      <c r="N233" s="473"/>
    </row>
    <row r="234" spans="1:14" ht="66.75" customHeight="1">
      <c r="A234" s="156" t="s">
        <v>1569</v>
      </c>
      <c r="B234" s="112" t="s">
        <v>1346</v>
      </c>
      <c r="C234" s="113">
        <v>600</v>
      </c>
      <c r="D234" s="114"/>
      <c r="E234" s="114"/>
      <c r="F234" s="114">
        <v>3799488.58</v>
      </c>
      <c r="G234" s="224"/>
      <c r="H234" s="247" t="s">
        <v>1351</v>
      </c>
      <c r="I234" s="233">
        <v>277387.8</v>
      </c>
      <c r="J234" s="233">
        <v>3799488.58</v>
      </c>
      <c r="K234" s="234">
        <f t="shared" si="8"/>
        <v>3799488.58</v>
      </c>
      <c r="L234" s="234"/>
      <c r="N234" s="473"/>
    </row>
    <row r="235" spans="1:12" ht="66" customHeight="1">
      <c r="A235" s="157" t="s">
        <v>596</v>
      </c>
      <c r="B235" s="112" t="s">
        <v>1357</v>
      </c>
      <c r="C235" s="113">
        <v>200</v>
      </c>
      <c r="D235" s="114"/>
      <c r="E235" s="114"/>
      <c r="F235" s="114">
        <f>63525+71148</f>
        <v>134673</v>
      </c>
      <c r="G235" s="224"/>
      <c r="H235" s="115"/>
      <c r="I235" s="233">
        <v>63525</v>
      </c>
      <c r="J235" s="233">
        <v>134673</v>
      </c>
      <c r="K235" s="234">
        <f t="shared" si="8"/>
        <v>134673</v>
      </c>
      <c r="L235" s="234"/>
    </row>
    <row r="236" spans="1:12" ht="65.25" customHeight="1">
      <c r="A236" s="157" t="s">
        <v>1329</v>
      </c>
      <c r="B236" s="112" t="s">
        <v>1357</v>
      </c>
      <c r="C236" s="113">
        <v>600</v>
      </c>
      <c r="D236" s="114"/>
      <c r="E236" s="114"/>
      <c r="F236" s="114">
        <v>393855</v>
      </c>
      <c r="G236" s="224"/>
      <c r="H236" s="115"/>
      <c r="I236" s="233">
        <v>393855</v>
      </c>
      <c r="J236" s="233">
        <v>393855</v>
      </c>
      <c r="K236" s="234">
        <f t="shared" si="8"/>
        <v>393855</v>
      </c>
      <c r="L236" s="234"/>
    </row>
    <row r="237" spans="1:12" ht="81" customHeight="1">
      <c r="A237" s="156" t="s">
        <v>855</v>
      </c>
      <c r="B237" s="112" t="s">
        <v>1358</v>
      </c>
      <c r="C237" s="113">
        <v>600</v>
      </c>
      <c r="D237" s="114"/>
      <c r="E237" s="114"/>
      <c r="F237" s="169">
        <v>50820</v>
      </c>
      <c r="G237" s="224"/>
      <c r="H237" s="115"/>
      <c r="I237" s="233">
        <v>50820</v>
      </c>
      <c r="J237" s="233">
        <v>50820</v>
      </c>
      <c r="K237" s="234">
        <f t="shared" si="8"/>
        <v>50820</v>
      </c>
      <c r="L237" s="234"/>
    </row>
    <row r="238" spans="1:12" ht="96" customHeight="1">
      <c r="A238" s="156" t="s">
        <v>709</v>
      </c>
      <c r="B238" s="112" t="s">
        <v>438</v>
      </c>
      <c r="C238" s="113">
        <v>200</v>
      </c>
      <c r="D238" s="114">
        <v>-370500</v>
      </c>
      <c r="E238" s="114"/>
      <c r="F238" s="114">
        <v>37380</v>
      </c>
      <c r="G238" s="224">
        <v>36345</v>
      </c>
      <c r="I238" s="233">
        <v>36345</v>
      </c>
      <c r="J238" s="233">
        <v>37380</v>
      </c>
      <c r="K238" s="234">
        <f t="shared" si="8"/>
        <v>37380</v>
      </c>
      <c r="L238" s="234"/>
    </row>
    <row r="239" spans="1:12" ht="94.5">
      <c r="A239" s="156" t="s">
        <v>707</v>
      </c>
      <c r="B239" s="112" t="s">
        <v>604</v>
      </c>
      <c r="C239" s="113">
        <v>300</v>
      </c>
      <c r="D239" s="114"/>
      <c r="E239" s="114"/>
      <c r="F239" s="114">
        <v>78032.5</v>
      </c>
      <c r="G239" s="224">
        <v>86620.1</v>
      </c>
      <c r="I239" s="233">
        <v>86620.1</v>
      </c>
      <c r="J239" s="233">
        <v>78032.5</v>
      </c>
      <c r="K239" s="234">
        <f t="shared" si="8"/>
        <v>78032.5</v>
      </c>
      <c r="L239" s="234"/>
    </row>
    <row r="240" spans="1:12" ht="96" customHeight="1">
      <c r="A240" s="157" t="s">
        <v>1602</v>
      </c>
      <c r="B240" s="112" t="s">
        <v>1385</v>
      </c>
      <c r="C240" s="113">
        <v>100</v>
      </c>
      <c r="D240" s="114"/>
      <c r="E240" s="114"/>
      <c r="F240" s="114">
        <v>1406160</v>
      </c>
      <c r="G240" s="224"/>
      <c r="I240" s="233"/>
      <c r="J240" s="233">
        <v>1406160</v>
      </c>
      <c r="K240" s="234">
        <f t="shared" si="8"/>
        <v>1406160</v>
      </c>
      <c r="L240" s="234"/>
    </row>
    <row r="241" spans="1:12" ht="78.75">
      <c r="A241" s="157" t="s">
        <v>1603</v>
      </c>
      <c r="B241" s="112" t="s">
        <v>1385</v>
      </c>
      <c r="C241" s="113">
        <v>600</v>
      </c>
      <c r="D241" s="114"/>
      <c r="E241" s="114"/>
      <c r="F241" s="114">
        <v>4843440</v>
      </c>
      <c r="G241" s="224"/>
      <c r="I241" s="233"/>
      <c r="J241" s="233">
        <v>4843440</v>
      </c>
      <c r="K241" s="234">
        <f t="shared" si="8"/>
        <v>4843440</v>
      </c>
      <c r="L241" s="234"/>
    </row>
    <row r="242" spans="1:12" ht="208.5" customHeight="1">
      <c r="A242" s="157" t="s">
        <v>710</v>
      </c>
      <c r="B242" s="112" t="s">
        <v>439</v>
      </c>
      <c r="C242" s="113">
        <v>100</v>
      </c>
      <c r="D242" s="114"/>
      <c r="E242" s="114"/>
      <c r="F242" s="114">
        <v>14878957</v>
      </c>
      <c r="G242" s="224">
        <v>14477914.25</v>
      </c>
      <c r="H242" s="145"/>
      <c r="I242" s="233">
        <v>14601095.5</v>
      </c>
      <c r="J242" s="233">
        <v>14878957</v>
      </c>
      <c r="K242" s="234">
        <f t="shared" si="8"/>
        <v>14878957</v>
      </c>
      <c r="L242" s="234"/>
    </row>
    <row r="243" spans="1:12" ht="159.75" customHeight="1">
      <c r="A243" s="157" t="s">
        <v>711</v>
      </c>
      <c r="B243" s="112" t="s">
        <v>439</v>
      </c>
      <c r="C243" s="113">
        <v>200</v>
      </c>
      <c r="D243" s="114"/>
      <c r="E243" s="114"/>
      <c r="F243" s="114">
        <v>206451</v>
      </c>
      <c r="G243" s="224">
        <v>209837</v>
      </c>
      <c r="H243" s="145"/>
      <c r="I243" s="233">
        <v>209937</v>
      </c>
      <c r="J243" s="233">
        <v>206451</v>
      </c>
      <c r="K243" s="234">
        <f t="shared" si="8"/>
        <v>206451</v>
      </c>
      <c r="L243" s="234"/>
    </row>
    <row r="244" spans="1:12" ht="176.25" customHeight="1">
      <c r="A244" s="157" t="s">
        <v>712</v>
      </c>
      <c r="B244" s="112" t="s">
        <v>439</v>
      </c>
      <c r="C244" s="113">
        <v>600</v>
      </c>
      <c r="D244" s="114">
        <v>1357611</v>
      </c>
      <c r="E244" s="114"/>
      <c r="F244" s="114">
        <v>64036250</v>
      </c>
      <c r="G244" s="224">
        <v>58335810.25</v>
      </c>
      <c r="H244" s="145"/>
      <c r="I244" s="233">
        <v>58758703</v>
      </c>
      <c r="J244" s="233">
        <v>64036250</v>
      </c>
      <c r="K244" s="234">
        <f t="shared" si="8"/>
        <v>64036250</v>
      </c>
      <c r="L244" s="234"/>
    </row>
    <row r="245" spans="1:12" ht="77.25" customHeight="1">
      <c r="A245" s="157" t="s">
        <v>1404</v>
      </c>
      <c r="B245" s="112" t="s">
        <v>1403</v>
      </c>
      <c r="C245" s="113">
        <v>200</v>
      </c>
      <c r="D245" s="114"/>
      <c r="E245" s="114"/>
      <c r="F245" s="114">
        <v>798090.31</v>
      </c>
      <c r="G245" s="224"/>
      <c r="H245" s="145"/>
      <c r="I245" s="233"/>
      <c r="J245" s="233">
        <v>798090.31</v>
      </c>
      <c r="K245" s="234">
        <f t="shared" si="8"/>
        <v>798090.31</v>
      </c>
      <c r="L245" s="234"/>
    </row>
    <row r="246" spans="1:12" ht="77.25" customHeight="1">
      <c r="A246" s="157" t="s">
        <v>1405</v>
      </c>
      <c r="B246" s="112" t="s">
        <v>1403</v>
      </c>
      <c r="C246" s="113">
        <v>600</v>
      </c>
      <c r="D246" s="114"/>
      <c r="E246" s="114"/>
      <c r="F246" s="114">
        <v>5008873.52</v>
      </c>
      <c r="G246" s="224"/>
      <c r="H246" s="145"/>
      <c r="I246" s="233"/>
      <c r="J246" s="233">
        <v>5008873.52</v>
      </c>
      <c r="K246" s="234">
        <f t="shared" si="8"/>
        <v>5008873.52</v>
      </c>
      <c r="L246" s="234"/>
    </row>
    <row r="247" spans="1:12" ht="52.5" customHeight="1">
      <c r="A247" s="159" t="s">
        <v>915</v>
      </c>
      <c r="B247" s="101" t="s">
        <v>836</v>
      </c>
      <c r="C247" s="102"/>
      <c r="D247" s="103"/>
      <c r="E247" s="103">
        <f>E248</f>
        <v>0</v>
      </c>
      <c r="F247" s="103">
        <f>F248</f>
        <v>85837</v>
      </c>
      <c r="G247" s="223">
        <f>G248</f>
        <v>151714</v>
      </c>
      <c r="I247" s="233">
        <v>151714</v>
      </c>
      <c r="J247" s="233">
        <v>85837</v>
      </c>
      <c r="K247" s="234">
        <f t="shared" si="8"/>
        <v>85837</v>
      </c>
      <c r="L247" s="234"/>
    </row>
    <row r="248" spans="1:12" ht="63">
      <c r="A248" s="63" t="s">
        <v>954</v>
      </c>
      <c r="B248" s="20" t="s">
        <v>962</v>
      </c>
      <c r="C248" s="58">
        <v>600</v>
      </c>
      <c r="D248" s="77"/>
      <c r="E248" s="77"/>
      <c r="F248" s="114">
        <v>85837</v>
      </c>
      <c r="G248" s="224">
        <v>151714</v>
      </c>
      <c r="I248" s="233">
        <v>151714</v>
      </c>
      <c r="J248" s="233">
        <v>85837</v>
      </c>
      <c r="K248" s="234">
        <f t="shared" si="8"/>
        <v>85837</v>
      </c>
      <c r="L248" s="234"/>
    </row>
    <row r="249" spans="1:12" ht="31.5">
      <c r="A249" s="107" t="s">
        <v>440</v>
      </c>
      <c r="B249" s="19" t="s">
        <v>441</v>
      </c>
      <c r="C249" s="57"/>
      <c r="D249" s="80" t="e">
        <f>D251+#REF!+D253</f>
        <v>#REF!</v>
      </c>
      <c r="E249" s="80">
        <f>E250</f>
        <v>0</v>
      </c>
      <c r="F249" s="80">
        <f>F250</f>
        <v>6574413.0600000005</v>
      </c>
      <c r="G249" s="221">
        <f>G250</f>
        <v>6064891.319999999</v>
      </c>
      <c r="I249" s="233">
        <v>6064891.32</v>
      </c>
      <c r="J249" s="233">
        <v>6574413.0600000005</v>
      </c>
      <c r="K249" s="234">
        <f t="shared" si="8"/>
        <v>6574413.0600000005</v>
      </c>
      <c r="L249" s="234"/>
    </row>
    <row r="250" spans="1:12" ht="31.5">
      <c r="A250" s="107" t="s">
        <v>897</v>
      </c>
      <c r="B250" s="19" t="s">
        <v>442</v>
      </c>
      <c r="C250" s="57"/>
      <c r="D250" s="80"/>
      <c r="E250" s="80">
        <f>SUM(E251:E258)</f>
        <v>0</v>
      </c>
      <c r="F250" s="80">
        <f>SUM(F251:F258)</f>
        <v>6574413.0600000005</v>
      </c>
      <c r="G250" s="221">
        <f>SUM(G251:G258)</f>
        <v>6064891.319999999</v>
      </c>
      <c r="H250" s="145"/>
      <c r="I250" s="233">
        <v>6064891.32</v>
      </c>
      <c r="J250" s="233">
        <v>6574413.0600000005</v>
      </c>
      <c r="K250" s="234">
        <f t="shared" si="8"/>
        <v>6574413.0600000005</v>
      </c>
      <c r="L250" s="234"/>
    </row>
    <row r="251" spans="1:12" ht="78" customHeight="1">
      <c r="A251" s="157" t="s">
        <v>443</v>
      </c>
      <c r="B251" s="112" t="s">
        <v>444</v>
      </c>
      <c r="C251" s="113">
        <v>600</v>
      </c>
      <c r="D251" s="114"/>
      <c r="E251" s="114"/>
      <c r="F251" s="171">
        <v>5809510.99</v>
      </c>
      <c r="G251" s="224">
        <v>5300230.89</v>
      </c>
      <c r="H251" s="77">
        <v>5300230.89</v>
      </c>
      <c r="I251" s="233">
        <v>5298962.75</v>
      </c>
      <c r="J251" s="233">
        <v>5809510.99</v>
      </c>
      <c r="K251" s="234">
        <f t="shared" si="8"/>
        <v>5809510.99</v>
      </c>
      <c r="L251" s="234"/>
    </row>
    <row r="252" spans="1:12" ht="83.25" customHeight="1">
      <c r="A252" s="63" t="s">
        <v>838</v>
      </c>
      <c r="B252" s="20" t="s">
        <v>839</v>
      </c>
      <c r="C252" s="58">
        <v>600</v>
      </c>
      <c r="D252" s="77"/>
      <c r="E252" s="114"/>
      <c r="F252" s="114">
        <v>7520.42</v>
      </c>
      <c r="G252" s="222">
        <v>6264.6</v>
      </c>
      <c r="H252" s="114">
        <v>6264.6</v>
      </c>
      <c r="I252" s="233">
        <v>7532.740000000001</v>
      </c>
      <c r="J252" s="233">
        <v>7520.42</v>
      </c>
      <c r="K252" s="234">
        <f t="shared" si="8"/>
        <v>7520.42</v>
      </c>
      <c r="L252" s="234"/>
    </row>
    <row r="253" spans="1:12" ht="94.5">
      <c r="A253" s="157" t="s">
        <v>704</v>
      </c>
      <c r="B253" s="112" t="s">
        <v>445</v>
      </c>
      <c r="C253" s="113">
        <v>600</v>
      </c>
      <c r="D253" s="114">
        <v>451896</v>
      </c>
      <c r="E253" s="114"/>
      <c r="F253" s="169">
        <v>619181.65</v>
      </c>
      <c r="G253" s="222">
        <v>620195.83</v>
      </c>
      <c r="H253" s="145"/>
      <c r="I253" s="233">
        <v>620195.83</v>
      </c>
      <c r="J253" s="233">
        <v>619181.65</v>
      </c>
      <c r="K253" s="234">
        <f t="shared" si="8"/>
        <v>619181.65</v>
      </c>
      <c r="L253" s="234"/>
    </row>
    <row r="254" spans="1:12" ht="63.75" customHeight="1">
      <c r="A254" s="63" t="s">
        <v>1112</v>
      </c>
      <c r="B254" s="20" t="s">
        <v>1111</v>
      </c>
      <c r="C254" s="58">
        <v>600</v>
      </c>
      <c r="D254" s="77"/>
      <c r="E254" s="114"/>
      <c r="F254" s="114">
        <v>0</v>
      </c>
      <c r="G254" s="222"/>
      <c r="I254" s="233"/>
      <c r="J254" s="233">
        <v>0</v>
      </c>
      <c r="K254" s="234">
        <f t="shared" si="8"/>
        <v>0</v>
      </c>
      <c r="L254" s="234"/>
    </row>
    <row r="255" spans="1:12" ht="66.75" customHeight="1">
      <c r="A255" s="128" t="s">
        <v>1130</v>
      </c>
      <c r="B255" s="20" t="s">
        <v>1120</v>
      </c>
      <c r="C255" s="58">
        <v>600</v>
      </c>
      <c r="D255" s="77"/>
      <c r="E255" s="114"/>
      <c r="F255" s="77">
        <v>0</v>
      </c>
      <c r="G255" s="222"/>
      <c r="I255" s="233"/>
      <c r="J255" s="233">
        <v>0</v>
      </c>
      <c r="K255" s="234">
        <f aca="true" t="shared" si="9" ref="K255:K318">J255+E255</f>
        <v>0</v>
      </c>
      <c r="L255" s="234"/>
    </row>
    <row r="256" spans="1:12" ht="80.25" customHeight="1">
      <c r="A256" s="128" t="s">
        <v>1131</v>
      </c>
      <c r="B256" s="20" t="s">
        <v>1121</v>
      </c>
      <c r="C256" s="58">
        <v>600</v>
      </c>
      <c r="D256" s="77"/>
      <c r="E256" s="114"/>
      <c r="F256" s="114">
        <v>0</v>
      </c>
      <c r="G256" s="222"/>
      <c r="I256" s="233"/>
      <c r="J256" s="233">
        <v>0</v>
      </c>
      <c r="K256" s="234">
        <f t="shared" si="9"/>
        <v>0</v>
      </c>
      <c r="L256" s="234"/>
    </row>
    <row r="257" spans="1:12" ht="51.75" customHeight="1">
      <c r="A257" s="128" t="s">
        <v>1310</v>
      </c>
      <c r="B257" s="21" t="s">
        <v>1478</v>
      </c>
      <c r="C257" s="113">
        <v>600</v>
      </c>
      <c r="D257" s="114"/>
      <c r="E257" s="114"/>
      <c r="F257" s="181">
        <v>138200</v>
      </c>
      <c r="G257" s="222">
        <v>138200</v>
      </c>
      <c r="I257" s="233">
        <v>138200</v>
      </c>
      <c r="J257" s="233">
        <v>138200</v>
      </c>
      <c r="K257" s="234">
        <f t="shared" si="9"/>
        <v>138200</v>
      </c>
      <c r="L257" s="234"/>
    </row>
    <row r="258" spans="1:12" ht="67.5" customHeight="1">
      <c r="A258" s="128" t="s">
        <v>1132</v>
      </c>
      <c r="B258" s="20" t="s">
        <v>1122</v>
      </c>
      <c r="C258" s="58">
        <v>600</v>
      </c>
      <c r="D258" s="77"/>
      <c r="E258" s="77"/>
      <c r="F258" s="114">
        <v>0</v>
      </c>
      <c r="G258" s="222"/>
      <c r="I258" s="233"/>
      <c r="J258" s="233">
        <v>0</v>
      </c>
      <c r="K258" s="234">
        <f t="shared" si="9"/>
        <v>0</v>
      </c>
      <c r="L258" s="234"/>
    </row>
    <row r="259" spans="1:12" ht="63">
      <c r="A259" s="149" t="s">
        <v>852</v>
      </c>
      <c r="B259" s="22" t="s">
        <v>446</v>
      </c>
      <c r="C259" s="102"/>
      <c r="D259" s="103"/>
      <c r="E259" s="124">
        <f>E260+E278+E285</f>
        <v>0</v>
      </c>
      <c r="F259" s="124">
        <f>F260+F278+F285</f>
        <v>3885305.55</v>
      </c>
      <c r="G259" s="220">
        <f>G260+G278+G285</f>
        <v>3674746.9699999997</v>
      </c>
      <c r="H259" s="145">
        <f>F259-E259</f>
        <v>3885305.55</v>
      </c>
      <c r="I259" s="233">
        <v>3651425.84</v>
      </c>
      <c r="J259" s="233">
        <v>3885305.55</v>
      </c>
      <c r="K259" s="234">
        <f t="shared" si="9"/>
        <v>3885305.55</v>
      </c>
      <c r="L259" s="234"/>
    </row>
    <row r="260" spans="1:12" ht="49.5" customHeight="1">
      <c r="A260" s="107" t="s">
        <v>454</v>
      </c>
      <c r="B260" s="19" t="s">
        <v>447</v>
      </c>
      <c r="C260" s="102"/>
      <c r="D260" s="103"/>
      <c r="E260" s="103">
        <f>E261+E268+E275</f>
        <v>0</v>
      </c>
      <c r="F260" s="103">
        <f>F261+F268+F275</f>
        <v>1250871.2999999998</v>
      </c>
      <c r="G260" s="223">
        <f>G261+G268+G275</f>
        <v>1764462.21</v>
      </c>
      <c r="I260" s="233">
        <v>1246307.13</v>
      </c>
      <c r="J260" s="233">
        <v>1250871.2999999998</v>
      </c>
      <c r="K260" s="234">
        <f t="shared" si="9"/>
        <v>1250871.2999999998</v>
      </c>
      <c r="L260" s="234"/>
    </row>
    <row r="261" spans="1:12" ht="23.25" customHeight="1">
      <c r="A261" s="159" t="s">
        <v>455</v>
      </c>
      <c r="B261" s="19" t="s">
        <v>448</v>
      </c>
      <c r="C261" s="102"/>
      <c r="D261" s="103"/>
      <c r="E261" s="103">
        <f>SUM(E262:E267)</f>
        <v>0</v>
      </c>
      <c r="F261" s="103">
        <f>SUM(F262:F267)</f>
        <v>406000</v>
      </c>
      <c r="G261" s="223">
        <f>SUM(G262:G267)</f>
        <v>933500</v>
      </c>
      <c r="I261" s="233">
        <v>406000</v>
      </c>
      <c r="J261" s="233">
        <v>406000</v>
      </c>
      <c r="K261" s="234">
        <f t="shared" si="9"/>
        <v>406000</v>
      </c>
      <c r="L261" s="234"/>
    </row>
    <row r="262" spans="1:12" ht="81.75" customHeight="1">
      <c r="A262" s="63" t="s">
        <v>678</v>
      </c>
      <c r="B262" s="20" t="s">
        <v>1282</v>
      </c>
      <c r="C262" s="58">
        <v>600</v>
      </c>
      <c r="D262" s="77"/>
      <c r="E262" s="77"/>
      <c r="F262" s="114">
        <v>350000</v>
      </c>
      <c r="G262" s="222">
        <v>350000</v>
      </c>
      <c r="I262" s="233">
        <v>350000</v>
      </c>
      <c r="J262" s="233">
        <v>350000</v>
      </c>
      <c r="K262" s="234">
        <f t="shared" si="9"/>
        <v>350000</v>
      </c>
      <c r="L262" s="234"/>
    </row>
    <row r="263" spans="1:12" ht="94.5">
      <c r="A263" s="63" t="s">
        <v>723</v>
      </c>
      <c r="B263" s="20" t="s">
        <v>1283</v>
      </c>
      <c r="C263" s="58">
        <v>100</v>
      </c>
      <c r="D263" s="77"/>
      <c r="E263" s="77"/>
      <c r="F263" s="114">
        <v>56000</v>
      </c>
      <c r="G263" s="222">
        <v>56000</v>
      </c>
      <c r="I263" s="233">
        <v>56000</v>
      </c>
      <c r="J263" s="233">
        <v>56000</v>
      </c>
      <c r="K263" s="234">
        <f t="shared" si="9"/>
        <v>56000</v>
      </c>
      <c r="L263" s="234"/>
    </row>
    <row r="264" spans="1:12" ht="63.75" customHeight="1" hidden="1">
      <c r="A264" s="63" t="s">
        <v>596</v>
      </c>
      <c r="B264" s="20" t="s">
        <v>1284</v>
      </c>
      <c r="C264" s="58">
        <v>200</v>
      </c>
      <c r="D264" s="77"/>
      <c r="E264" s="114"/>
      <c r="F264" s="114">
        <v>0</v>
      </c>
      <c r="G264" s="222">
        <v>65500</v>
      </c>
      <c r="H264" s="145"/>
      <c r="I264" s="233">
        <v>0</v>
      </c>
      <c r="J264" s="233">
        <v>0</v>
      </c>
      <c r="K264" s="234">
        <f t="shared" si="9"/>
        <v>0</v>
      </c>
      <c r="L264" s="234"/>
    </row>
    <row r="265" spans="1:12" ht="63.75" customHeight="1" hidden="1">
      <c r="A265" s="63" t="s">
        <v>596</v>
      </c>
      <c r="B265" s="20" t="s">
        <v>1284</v>
      </c>
      <c r="C265" s="58">
        <v>200</v>
      </c>
      <c r="D265" s="77"/>
      <c r="E265" s="77"/>
      <c r="F265" s="77">
        <v>0</v>
      </c>
      <c r="G265" s="224">
        <v>57750</v>
      </c>
      <c r="H265" s="145"/>
      <c r="I265" s="233">
        <v>0</v>
      </c>
      <c r="J265" s="233">
        <v>0</v>
      </c>
      <c r="K265" s="234">
        <f t="shared" si="9"/>
        <v>0</v>
      </c>
      <c r="L265" s="234"/>
    </row>
    <row r="266" spans="1:12" ht="63.75" customHeight="1" hidden="1">
      <c r="A266" s="157" t="s">
        <v>1329</v>
      </c>
      <c r="B266" s="20" t="s">
        <v>1284</v>
      </c>
      <c r="C266" s="58">
        <v>600</v>
      </c>
      <c r="D266" s="77"/>
      <c r="E266" s="77"/>
      <c r="F266" s="77">
        <v>0</v>
      </c>
      <c r="G266" s="224">
        <v>358050</v>
      </c>
      <c r="H266" s="145"/>
      <c r="I266" s="233">
        <v>0</v>
      </c>
      <c r="J266" s="233">
        <v>0</v>
      </c>
      <c r="K266" s="234">
        <f t="shared" si="9"/>
        <v>0</v>
      </c>
      <c r="L266" s="234"/>
    </row>
    <row r="267" spans="1:12" ht="81.75" customHeight="1" hidden="1">
      <c r="A267" s="59" t="s">
        <v>855</v>
      </c>
      <c r="B267" s="20" t="s">
        <v>1285</v>
      </c>
      <c r="C267" s="58">
        <v>600</v>
      </c>
      <c r="D267" s="77"/>
      <c r="E267" s="77"/>
      <c r="F267" s="77">
        <v>0</v>
      </c>
      <c r="G267" s="224">
        <v>46200</v>
      </c>
      <c r="H267" s="145"/>
      <c r="I267" s="233">
        <v>0</v>
      </c>
      <c r="J267" s="233">
        <v>0</v>
      </c>
      <c r="K267" s="234">
        <f t="shared" si="9"/>
        <v>0</v>
      </c>
      <c r="L267" s="234"/>
    </row>
    <row r="268" spans="1:12" ht="31.5">
      <c r="A268" s="154" t="s">
        <v>365</v>
      </c>
      <c r="B268" s="101" t="s">
        <v>1286</v>
      </c>
      <c r="C268" s="102"/>
      <c r="D268" s="103"/>
      <c r="E268" s="103">
        <f>SUM(E269:E274)</f>
        <v>0</v>
      </c>
      <c r="F268" s="103">
        <f>SUM(F269:F274)</f>
        <v>829871.2999999999</v>
      </c>
      <c r="G268" s="223">
        <f>SUM(G269:G274)</f>
        <v>815962.21</v>
      </c>
      <c r="I268" s="233">
        <v>816307.1299999999</v>
      </c>
      <c r="J268" s="233">
        <v>829871.2999999999</v>
      </c>
      <c r="K268" s="234">
        <f t="shared" si="9"/>
        <v>829871.2999999999</v>
      </c>
      <c r="L268" s="234"/>
    </row>
    <row r="269" spans="1:12" ht="63">
      <c r="A269" s="59" t="s">
        <v>586</v>
      </c>
      <c r="B269" s="20" t="s">
        <v>1287</v>
      </c>
      <c r="C269" s="58">
        <v>200</v>
      </c>
      <c r="D269" s="77">
        <v>320000</v>
      </c>
      <c r="E269" s="77"/>
      <c r="F269" s="114">
        <v>350000</v>
      </c>
      <c r="G269" s="222">
        <v>350000</v>
      </c>
      <c r="I269" s="233">
        <v>350000</v>
      </c>
      <c r="J269" s="233">
        <v>350000</v>
      </c>
      <c r="K269" s="234">
        <f t="shared" si="9"/>
        <v>350000</v>
      </c>
      <c r="L269" s="234"/>
    </row>
    <row r="270" spans="1:12" ht="47.25">
      <c r="A270" s="59" t="s">
        <v>1008</v>
      </c>
      <c r="B270" s="20" t="s">
        <v>1288</v>
      </c>
      <c r="C270" s="58">
        <v>200</v>
      </c>
      <c r="D270" s="77"/>
      <c r="E270" s="77"/>
      <c r="F270" s="114">
        <v>10000</v>
      </c>
      <c r="G270" s="222">
        <v>10000</v>
      </c>
      <c r="I270" s="233">
        <v>10000</v>
      </c>
      <c r="J270" s="233">
        <v>10000</v>
      </c>
      <c r="K270" s="234">
        <f t="shared" si="9"/>
        <v>10000</v>
      </c>
      <c r="L270" s="234"/>
    </row>
    <row r="271" spans="1:12" ht="63">
      <c r="A271" s="59" t="s">
        <v>977</v>
      </c>
      <c r="B271" s="20" t="s">
        <v>1289</v>
      </c>
      <c r="C271" s="58">
        <v>200</v>
      </c>
      <c r="D271" s="77"/>
      <c r="E271" s="77"/>
      <c r="F271" s="169">
        <v>12240</v>
      </c>
      <c r="G271" s="222">
        <v>12240</v>
      </c>
      <c r="I271" s="233">
        <v>12240</v>
      </c>
      <c r="J271" s="233">
        <v>12240</v>
      </c>
      <c r="K271" s="234">
        <f t="shared" si="9"/>
        <v>12240</v>
      </c>
      <c r="L271" s="234"/>
    </row>
    <row r="272" spans="1:12" ht="47.25">
      <c r="A272" s="156" t="s">
        <v>587</v>
      </c>
      <c r="B272" s="112" t="s">
        <v>1290</v>
      </c>
      <c r="C272" s="113">
        <v>200</v>
      </c>
      <c r="D272" s="114">
        <v>10975</v>
      </c>
      <c r="E272" s="114"/>
      <c r="F272" s="169">
        <v>10492</v>
      </c>
      <c r="G272" s="222">
        <v>10666.5</v>
      </c>
      <c r="I272" s="233">
        <v>10666.5</v>
      </c>
      <c r="J272" s="233">
        <v>10492</v>
      </c>
      <c r="K272" s="234">
        <f t="shared" si="9"/>
        <v>10492</v>
      </c>
      <c r="L272" s="234"/>
    </row>
    <row r="273" spans="1:12" ht="94.5">
      <c r="A273" s="156" t="s">
        <v>366</v>
      </c>
      <c r="B273" s="112" t="s">
        <v>1291</v>
      </c>
      <c r="C273" s="113">
        <v>100</v>
      </c>
      <c r="D273" s="114">
        <v>383500</v>
      </c>
      <c r="E273" s="114"/>
      <c r="F273" s="114">
        <v>433501</v>
      </c>
      <c r="G273" s="222">
        <v>416736</v>
      </c>
      <c r="H273" s="145"/>
      <c r="I273" s="233">
        <v>417080.92</v>
      </c>
      <c r="J273" s="233">
        <v>433501</v>
      </c>
      <c r="K273" s="234">
        <f t="shared" si="9"/>
        <v>433501</v>
      </c>
      <c r="L273" s="234"/>
    </row>
    <row r="274" spans="1:12" ht="63">
      <c r="A274" s="156" t="s">
        <v>588</v>
      </c>
      <c r="B274" s="112" t="s">
        <v>1291</v>
      </c>
      <c r="C274" s="113">
        <v>200</v>
      </c>
      <c r="D274" s="114">
        <v>63370</v>
      </c>
      <c r="E274" s="114"/>
      <c r="F274" s="114">
        <v>13638.299999999985</v>
      </c>
      <c r="G274" s="222">
        <v>16319.71</v>
      </c>
      <c r="I274" s="233">
        <v>16319.71</v>
      </c>
      <c r="J274" s="233">
        <v>13638.299999999985</v>
      </c>
      <c r="K274" s="234">
        <f t="shared" si="9"/>
        <v>13638.299999999985</v>
      </c>
      <c r="L274" s="234"/>
    </row>
    <row r="275" spans="1:12" ht="31.5">
      <c r="A275" s="107" t="s">
        <v>987</v>
      </c>
      <c r="B275" s="101" t="s">
        <v>1292</v>
      </c>
      <c r="C275" s="102"/>
      <c r="D275" s="103"/>
      <c r="E275" s="103">
        <f>SUM(E276:E277)</f>
        <v>0</v>
      </c>
      <c r="F275" s="103">
        <f>SUM(F276:F277)</f>
        <v>15000</v>
      </c>
      <c r="G275" s="223">
        <f>SUM(G276:G277)</f>
        <v>15000</v>
      </c>
      <c r="I275" s="233">
        <v>24000</v>
      </c>
      <c r="J275" s="233">
        <v>15000</v>
      </c>
      <c r="K275" s="234">
        <f t="shared" si="9"/>
        <v>15000</v>
      </c>
      <c r="L275" s="234"/>
    </row>
    <row r="276" spans="1:12" ht="48" customHeight="1">
      <c r="A276" s="59" t="s">
        <v>1163</v>
      </c>
      <c r="B276" s="20" t="s">
        <v>1293</v>
      </c>
      <c r="C276" s="58">
        <v>200</v>
      </c>
      <c r="D276" s="77"/>
      <c r="E276" s="77"/>
      <c r="F276" s="114">
        <v>9000</v>
      </c>
      <c r="G276" s="222">
        <v>9000</v>
      </c>
      <c r="H276" s="145"/>
      <c r="I276" s="233">
        <v>18000</v>
      </c>
      <c r="J276" s="233">
        <v>9000</v>
      </c>
      <c r="K276" s="234">
        <f t="shared" si="9"/>
        <v>9000</v>
      </c>
      <c r="L276" s="234"/>
    </row>
    <row r="277" spans="1:12" ht="63">
      <c r="A277" s="59" t="s">
        <v>1164</v>
      </c>
      <c r="B277" s="20" t="s">
        <v>1294</v>
      </c>
      <c r="C277" s="58">
        <v>200</v>
      </c>
      <c r="D277" s="77"/>
      <c r="E277" s="77"/>
      <c r="F277" s="181">
        <v>6000</v>
      </c>
      <c r="G277" s="222">
        <v>6000</v>
      </c>
      <c r="I277" s="233">
        <v>6000</v>
      </c>
      <c r="J277" s="233">
        <v>6000</v>
      </c>
      <c r="K277" s="234">
        <f t="shared" si="9"/>
        <v>6000</v>
      </c>
      <c r="L277" s="234"/>
    </row>
    <row r="278" spans="1:12" ht="31.5">
      <c r="A278" s="107" t="s">
        <v>456</v>
      </c>
      <c r="B278" s="19" t="s">
        <v>1295</v>
      </c>
      <c r="C278" s="57"/>
      <c r="D278" s="80">
        <f>D280</f>
        <v>0</v>
      </c>
      <c r="E278" s="80">
        <f>E279+E281</f>
        <v>0</v>
      </c>
      <c r="F278" s="80">
        <f>F279+F281</f>
        <v>61400</v>
      </c>
      <c r="G278" s="221">
        <f>G279+G281</f>
        <v>61400</v>
      </c>
      <c r="I278" s="233">
        <v>61400</v>
      </c>
      <c r="J278" s="233">
        <v>61400</v>
      </c>
      <c r="K278" s="234">
        <f t="shared" si="9"/>
        <v>61400</v>
      </c>
      <c r="L278" s="234"/>
    </row>
    <row r="279" spans="1:12" ht="35.25" customHeight="1">
      <c r="A279" s="107" t="s">
        <v>988</v>
      </c>
      <c r="B279" s="19" t="s">
        <v>1296</v>
      </c>
      <c r="C279" s="57"/>
      <c r="D279" s="80"/>
      <c r="E279" s="80">
        <f>E280</f>
        <v>0</v>
      </c>
      <c r="F279" s="80">
        <f>F280</f>
        <v>4000</v>
      </c>
      <c r="G279" s="221">
        <f>G280</f>
        <v>4000</v>
      </c>
      <c r="I279" s="233">
        <v>4000</v>
      </c>
      <c r="J279" s="233">
        <v>4000</v>
      </c>
      <c r="K279" s="234">
        <f t="shared" si="9"/>
        <v>4000</v>
      </c>
      <c r="L279" s="234"/>
    </row>
    <row r="280" spans="1:12" ht="63">
      <c r="A280" s="63" t="s">
        <v>989</v>
      </c>
      <c r="B280" s="20" t="s">
        <v>1297</v>
      </c>
      <c r="C280" s="58">
        <v>200</v>
      </c>
      <c r="D280" s="77"/>
      <c r="E280" s="77"/>
      <c r="F280" s="181">
        <v>4000</v>
      </c>
      <c r="G280" s="222">
        <v>4000</v>
      </c>
      <c r="I280" s="233">
        <v>4000</v>
      </c>
      <c r="J280" s="233">
        <v>4000</v>
      </c>
      <c r="K280" s="234">
        <f t="shared" si="9"/>
        <v>4000</v>
      </c>
      <c r="L280" s="234"/>
    </row>
    <row r="281" spans="1:12" ht="31.5">
      <c r="A281" s="107" t="s">
        <v>902</v>
      </c>
      <c r="B281" s="19" t="s">
        <v>1298</v>
      </c>
      <c r="C281" s="57"/>
      <c r="D281" s="77"/>
      <c r="E281" s="103">
        <f>SUM(E282:E284)</f>
        <v>0</v>
      </c>
      <c r="F281" s="103">
        <f>SUM(F282:F284)</f>
        <v>57400</v>
      </c>
      <c r="G281" s="223">
        <f>SUM(G282:G284)</f>
        <v>57400</v>
      </c>
      <c r="I281" s="233">
        <v>57400</v>
      </c>
      <c r="J281" s="233">
        <v>57400</v>
      </c>
      <c r="K281" s="234">
        <f t="shared" si="9"/>
        <v>57400</v>
      </c>
      <c r="L281" s="234"/>
    </row>
    <row r="282" spans="1:12" ht="94.5">
      <c r="A282" s="63" t="s">
        <v>942</v>
      </c>
      <c r="B282" s="20" t="s">
        <v>1299</v>
      </c>
      <c r="C282" s="58">
        <v>100</v>
      </c>
      <c r="D282" s="77"/>
      <c r="E282" s="77"/>
      <c r="F282" s="114">
        <v>15000</v>
      </c>
      <c r="G282" s="222">
        <v>15000</v>
      </c>
      <c r="I282" s="233">
        <v>15000</v>
      </c>
      <c r="J282" s="233">
        <v>15000</v>
      </c>
      <c r="K282" s="234">
        <f t="shared" si="9"/>
        <v>15000</v>
      </c>
      <c r="L282" s="234"/>
    </row>
    <row r="283" spans="1:12" ht="63">
      <c r="A283" s="63" t="s">
        <v>943</v>
      </c>
      <c r="B283" s="20" t="s">
        <v>1300</v>
      </c>
      <c r="C283" s="58">
        <v>200</v>
      </c>
      <c r="D283" s="77"/>
      <c r="E283" s="77"/>
      <c r="F283" s="114">
        <v>5000</v>
      </c>
      <c r="G283" s="222">
        <v>5000</v>
      </c>
      <c r="I283" s="233">
        <v>5000</v>
      </c>
      <c r="J283" s="233">
        <v>5000</v>
      </c>
      <c r="K283" s="234">
        <f t="shared" si="9"/>
        <v>5000</v>
      </c>
      <c r="L283" s="234"/>
    </row>
    <row r="284" spans="1:12" ht="63">
      <c r="A284" s="63" t="s">
        <v>913</v>
      </c>
      <c r="B284" s="20" t="s">
        <v>1301</v>
      </c>
      <c r="C284" s="58">
        <v>200</v>
      </c>
      <c r="D284" s="77"/>
      <c r="E284" s="77"/>
      <c r="F284" s="114">
        <v>37400</v>
      </c>
      <c r="G284" s="222">
        <v>37400</v>
      </c>
      <c r="I284" s="233">
        <v>37400</v>
      </c>
      <c r="J284" s="233">
        <v>37400</v>
      </c>
      <c r="K284" s="234">
        <f t="shared" si="9"/>
        <v>37400</v>
      </c>
      <c r="L284" s="234"/>
    </row>
    <row r="285" spans="1:12" ht="31.5">
      <c r="A285" s="107" t="s">
        <v>967</v>
      </c>
      <c r="B285" s="19" t="s">
        <v>1302</v>
      </c>
      <c r="C285" s="57"/>
      <c r="D285" s="80">
        <f>D287</f>
        <v>0</v>
      </c>
      <c r="E285" s="80">
        <f>E286</f>
        <v>0</v>
      </c>
      <c r="F285" s="80">
        <f>F286</f>
        <v>2573034.25</v>
      </c>
      <c r="G285" s="221">
        <f>G286</f>
        <v>1848884.76</v>
      </c>
      <c r="H285" s="145">
        <f>F285-E285</f>
        <v>2573034.25</v>
      </c>
      <c r="I285" s="233">
        <v>2343718.71</v>
      </c>
      <c r="J285" s="233">
        <v>2573034.25</v>
      </c>
      <c r="K285" s="234">
        <f t="shared" si="9"/>
        <v>2573034.25</v>
      </c>
      <c r="L285" s="234"/>
    </row>
    <row r="286" spans="1:12" ht="31.5">
      <c r="A286" s="107" t="s">
        <v>968</v>
      </c>
      <c r="B286" s="19" t="s">
        <v>1303</v>
      </c>
      <c r="C286" s="57"/>
      <c r="D286" s="80"/>
      <c r="E286" s="80">
        <f>E287+E288+E289</f>
        <v>0</v>
      </c>
      <c r="F286" s="80">
        <f>F287+F288+F289</f>
        <v>2573034.25</v>
      </c>
      <c r="G286" s="221">
        <f>G287+G288+G289</f>
        <v>1848884.76</v>
      </c>
      <c r="H286" s="145">
        <f>F286-E286</f>
        <v>2573034.25</v>
      </c>
      <c r="I286" s="233">
        <v>2343718.71</v>
      </c>
      <c r="J286" s="233">
        <v>2573034.25</v>
      </c>
      <c r="K286" s="234">
        <f t="shared" si="9"/>
        <v>2573034.25</v>
      </c>
      <c r="L286" s="234"/>
    </row>
    <row r="287" spans="1:12" ht="93" customHeight="1">
      <c r="A287" s="157" t="s">
        <v>970</v>
      </c>
      <c r="B287" s="112" t="s">
        <v>1304</v>
      </c>
      <c r="C287" s="113">
        <v>100</v>
      </c>
      <c r="D287" s="114"/>
      <c r="E287" s="114"/>
      <c r="F287" s="169">
        <f>2430927.45+49996.8</f>
        <v>2480924.25</v>
      </c>
      <c r="G287" s="222">
        <v>1768804.76</v>
      </c>
      <c r="H287" s="114">
        <v>1768804.76</v>
      </c>
      <c r="I287" s="233">
        <v>2263638.71</v>
      </c>
      <c r="J287" s="233">
        <v>2480924.25</v>
      </c>
      <c r="K287" s="234">
        <f t="shared" si="9"/>
        <v>2480924.25</v>
      </c>
      <c r="L287" s="234"/>
    </row>
    <row r="288" spans="1:12" ht="47.25" customHeight="1">
      <c r="A288" s="63" t="s">
        <v>969</v>
      </c>
      <c r="B288" s="20" t="s">
        <v>1304</v>
      </c>
      <c r="C288" s="58">
        <v>200</v>
      </c>
      <c r="D288" s="77"/>
      <c r="E288" s="77"/>
      <c r="F288" s="183">
        <v>92110</v>
      </c>
      <c r="G288" s="222">
        <v>80080</v>
      </c>
      <c r="I288" s="233">
        <v>80080</v>
      </c>
      <c r="J288" s="233">
        <v>92110</v>
      </c>
      <c r="K288" s="234">
        <f t="shared" si="9"/>
        <v>92110</v>
      </c>
      <c r="L288" s="234"/>
    </row>
    <row r="289" spans="1:12" ht="48" customHeight="1">
      <c r="A289" s="63" t="s">
        <v>971</v>
      </c>
      <c r="B289" s="20" t="s">
        <v>1304</v>
      </c>
      <c r="C289" s="58">
        <v>800</v>
      </c>
      <c r="D289" s="77"/>
      <c r="E289" s="77"/>
      <c r="F289" s="169">
        <v>0</v>
      </c>
      <c r="G289" s="224"/>
      <c r="I289" s="233"/>
      <c r="J289" s="233">
        <v>0</v>
      </c>
      <c r="K289" s="234">
        <f t="shared" si="9"/>
        <v>0</v>
      </c>
      <c r="L289" s="234"/>
    </row>
    <row r="290" spans="1:12" ht="31.5">
      <c r="A290" s="149" t="s">
        <v>646</v>
      </c>
      <c r="B290" s="22" t="s">
        <v>449</v>
      </c>
      <c r="C290" s="152"/>
      <c r="D290" s="124">
        <f>D291</f>
        <v>0</v>
      </c>
      <c r="E290" s="124">
        <f>E291+E296</f>
        <v>40719.62</v>
      </c>
      <c r="F290" s="124">
        <f>F291+F296</f>
        <v>4407419.62</v>
      </c>
      <c r="G290" s="220">
        <f>G291+G296</f>
        <v>4237000</v>
      </c>
      <c r="I290" s="233">
        <v>4309040</v>
      </c>
      <c r="J290" s="233">
        <v>4366700</v>
      </c>
      <c r="K290" s="234">
        <f t="shared" si="9"/>
        <v>4407419.62</v>
      </c>
      <c r="L290" s="234"/>
    </row>
    <row r="291" spans="1:12" ht="31.5">
      <c r="A291" s="107" t="s">
        <v>898</v>
      </c>
      <c r="B291" s="19" t="s">
        <v>450</v>
      </c>
      <c r="C291" s="57"/>
      <c r="D291" s="80">
        <f>SUM(D293:D295)</f>
        <v>0</v>
      </c>
      <c r="E291" s="80">
        <f>E292</f>
        <v>40719.62</v>
      </c>
      <c r="F291" s="80">
        <f>F292</f>
        <v>4407419.62</v>
      </c>
      <c r="G291" s="221">
        <f>G292</f>
        <v>4237000</v>
      </c>
      <c r="I291" s="233">
        <v>4309040</v>
      </c>
      <c r="J291" s="233">
        <v>4366700</v>
      </c>
      <c r="K291" s="234">
        <f t="shared" si="9"/>
        <v>4407419.62</v>
      </c>
      <c r="L291" s="234"/>
    </row>
    <row r="292" spans="1:12" ht="31.5">
      <c r="A292" s="107" t="s">
        <v>953</v>
      </c>
      <c r="B292" s="19" t="s">
        <v>451</v>
      </c>
      <c r="C292" s="57"/>
      <c r="D292" s="80"/>
      <c r="E292" s="80">
        <f>SUM(E293:E295)</f>
        <v>40719.62</v>
      </c>
      <c r="F292" s="80">
        <f>SUM(F293:F295)</f>
        <v>4407419.62</v>
      </c>
      <c r="G292" s="221">
        <f>SUM(G293:G295)</f>
        <v>4237000</v>
      </c>
      <c r="I292" s="233">
        <v>4309040</v>
      </c>
      <c r="J292" s="233">
        <v>4366700</v>
      </c>
      <c r="K292" s="234">
        <f t="shared" si="9"/>
        <v>4407419.62</v>
      </c>
      <c r="L292" s="234"/>
    </row>
    <row r="293" spans="1:12" ht="96.75" customHeight="1">
      <c r="A293" s="63" t="s">
        <v>536</v>
      </c>
      <c r="B293" s="20" t="s">
        <v>453</v>
      </c>
      <c r="C293" s="58">
        <v>100</v>
      </c>
      <c r="D293" s="77">
        <v>56705</v>
      </c>
      <c r="E293" s="77">
        <v>40719.62</v>
      </c>
      <c r="F293" s="183">
        <v>4052705.6100000003</v>
      </c>
      <c r="G293" s="224">
        <v>3850265.8</v>
      </c>
      <c r="I293" s="233">
        <v>3850265.8</v>
      </c>
      <c r="J293" s="233">
        <v>4011985.99</v>
      </c>
      <c r="K293" s="234">
        <f t="shared" si="9"/>
        <v>4052705.6100000003</v>
      </c>
      <c r="L293" s="234"/>
    </row>
    <row r="294" spans="1:12" ht="65.25" customHeight="1">
      <c r="A294" s="63" t="s">
        <v>595</v>
      </c>
      <c r="B294" s="20" t="s">
        <v>453</v>
      </c>
      <c r="C294" s="58">
        <v>200</v>
      </c>
      <c r="D294" s="77">
        <v>-50705</v>
      </c>
      <c r="E294" s="77"/>
      <c r="F294" s="183">
        <v>354714.01</v>
      </c>
      <c r="G294" s="224">
        <v>386734.2</v>
      </c>
      <c r="H294" s="145"/>
      <c r="I294" s="233">
        <v>458774.2</v>
      </c>
      <c r="J294" s="233">
        <v>354714.01</v>
      </c>
      <c r="K294" s="234">
        <f t="shared" si="9"/>
        <v>354714.01</v>
      </c>
      <c r="L294" s="234"/>
    </row>
    <row r="295" spans="1:12" ht="31.5" customHeight="1">
      <c r="A295" s="63" t="s">
        <v>452</v>
      </c>
      <c r="B295" s="20" t="s">
        <v>453</v>
      </c>
      <c r="C295" s="58">
        <v>800</v>
      </c>
      <c r="D295" s="77">
        <v>-6000</v>
      </c>
      <c r="E295" s="77"/>
      <c r="F295" s="79">
        <v>0</v>
      </c>
      <c r="G295" s="224"/>
      <c r="I295" s="233"/>
      <c r="J295" s="233">
        <v>0</v>
      </c>
      <c r="K295" s="234">
        <f t="shared" si="9"/>
        <v>0</v>
      </c>
      <c r="L295" s="234"/>
    </row>
    <row r="296" spans="1:12" ht="31.5">
      <c r="A296" s="107" t="s">
        <v>1069</v>
      </c>
      <c r="B296" s="19" t="s">
        <v>1071</v>
      </c>
      <c r="C296" s="102"/>
      <c r="D296" s="103"/>
      <c r="E296" s="103">
        <f aca="true" t="shared" si="10" ref="E296:G297">E297</f>
        <v>0</v>
      </c>
      <c r="F296" s="103">
        <f t="shared" si="10"/>
        <v>0</v>
      </c>
      <c r="G296" s="223">
        <f t="shared" si="10"/>
        <v>0</v>
      </c>
      <c r="I296" s="233">
        <v>0</v>
      </c>
      <c r="J296" s="233">
        <v>0</v>
      </c>
      <c r="K296" s="234">
        <f t="shared" si="9"/>
        <v>0</v>
      </c>
      <c r="L296" s="234"/>
    </row>
    <row r="297" spans="1:12" ht="31.5">
      <c r="A297" s="107" t="s">
        <v>1070</v>
      </c>
      <c r="B297" s="19" t="s">
        <v>1072</v>
      </c>
      <c r="C297" s="102"/>
      <c r="D297" s="103"/>
      <c r="E297" s="103">
        <f t="shared" si="10"/>
        <v>0</v>
      </c>
      <c r="F297" s="103">
        <f t="shared" si="10"/>
        <v>0</v>
      </c>
      <c r="G297" s="223">
        <f t="shared" si="10"/>
        <v>0</v>
      </c>
      <c r="I297" s="233">
        <v>0</v>
      </c>
      <c r="J297" s="233">
        <v>0</v>
      </c>
      <c r="K297" s="234">
        <f t="shared" si="9"/>
        <v>0</v>
      </c>
      <c r="L297" s="234"/>
    </row>
    <row r="298" spans="1:12" ht="47.25">
      <c r="A298" s="63" t="s">
        <v>1073</v>
      </c>
      <c r="B298" s="20" t="s">
        <v>1074</v>
      </c>
      <c r="C298" s="58">
        <v>200</v>
      </c>
      <c r="D298" s="77"/>
      <c r="E298" s="77"/>
      <c r="F298" s="77">
        <v>0</v>
      </c>
      <c r="G298" s="224"/>
      <c r="I298" s="233"/>
      <c r="J298" s="233">
        <v>0</v>
      </c>
      <c r="K298" s="234">
        <f t="shared" si="9"/>
        <v>0</v>
      </c>
      <c r="L298" s="234"/>
    </row>
    <row r="299" spans="1:12" ht="47.25">
      <c r="A299" s="149" t="s">
        <v>457</v>
      </c>
      <c r="B299" s="22" t="s">
        <v>458</v>
      </c>
      <c r="C299" s="152"/>
      <c r="D299" s="124">
        <f>D300</f>
        <v>30000</v>
      </c>
      <c r="E299" s="124">
        <f>E300</f>
        <v>-236839.25</v>
      </c>
      <c r="F299" s="124">
        <f>F300</f>
        <v>9627137.07</v>
      </c>
      <c r="G299" s="220">
        <f>G300</f>
        <v>13091811.68</v>
      </c>
      <c r="H299" s="145">
        <f>F299-E299</f>
        <v>9863976.32</v>
      </c>
      <c r="I299" s="233">
        <v>8988843.35</v>
      </c>
      <c r="J299" s="233">
        <v>9863976.32</v>
      </c>
      <c r="K299" s="234">
        <f t="shared" si="9"/>
        <v>9627137.07</v>
      </c>
      <c r="L299" s="234"/>
    </row>
    <row r="300" spans="1:12" ht="15.75">
      <c r="A300" s="107" t="s">
        <v>2</v>
      </c>
      <c r="B300" s="19" t="s">
        <v>459</v>
      </c>
      <c r="C300" s="57"/>
      <c r="D300" s="80">
        <f>SUM(D23:D24)</f>
        <v>30000</v>
      </c>
      <c r="E300" s="80">
        <f>SUM(E301:E322)</f>
        <v>-236839.25</v>
      </c>
      <c r="F300" s="80">
        <f>SUM(F301:F322)</f>
        <v>9627137.07</v>
      </c>
      <c r="G300" s="221">
        <f>SUM(G301:G322)</f>
        <v>13091811.68</v>
      </c>
      <c r="H300" s="145">
        <f>F300-E300</f>
        <v>9863976.32</v>
      </c>
      <c r="I300" s="233">
        <v>8988843.35</v>
      </c>
      <c r="J300" s="233">
        <v>9863976.32</v>
      </c>
      <c r="K300" s="234">
        <f t="shared" si="9"/>
        <v>9627137.07</v>
      </c>
      <c r="L300" s="234"/>
    </row>
    <row r="301" spans="1:12" ht="34.5" customHeight="1">
      <c r="A301" s="155" t="s">
        <v>610</v>
      </c>
      <c r="B301" s="20" t="s">
        <v>462</v>
      </c>
      <c r="C301" s="58">
        <v>800</v>
      </c>
      <c r="D301" s="77"/>
      <c r="E301" s="77"/>
      <c r="F301" s="169">
        <v>52460</v>
      </c>
      <c r="G301" s="222">
        <v>44022</v>
      </c>
      <c r="I301" s="233">
        <v>44022</v>
      </c>
      <c r="J301" s="233">
        <v>52460</v>
      </c>
      <c r="K301" s="234">
        <f t="shared" si="9"/>
        <v>52460</v>
      </c>
      <c r="L301" s="234"/>
    </row>
    <row r="302" spans="1:12" ht="51" customHeight="1">
      <c r="A302" s="59" t="s">
        <v>598</v>
      </c>
      <c r="B302" s="20" t="s">
        <v>461</v>
      </c>
      <c r="C302" s="58">
        <v>200</v>
      </c>
      <c r="D302" s="77"/>
      <c r="E302" s="77">
        <v>-117180</v>
      </c>
      <c r="F302" s="114">
        <v>0</v>
      </c>
      <c r="G302" s="222">
        <v>117180</v>
      </c>
      <c r="I302" s="233">
        <v>117180</v>
      </c>
      <c r="J302" s="233">
        <v>117180</v>
      </c>
      <c r="K302" s="234">
        <f t="shared" si="9"/>
        <v>0</v>
      </c>
      <c r="L302" s="234"/>
    </row>
    <row r="303" spans="1:12" ht="50.25" customHeight="1" hidden="1">
      <c r="A303" s="59" t="s">
        <v>463</v>
      </c>
      <c r="B303" s="20" t="s">
        <v>464</v>
      </c>
      <c r="C303" s="58">
        <v>400</v>
      </c>
      <c r="D303" s="77"/>
      <c r="E303" s="77"/>
      <c r="F303" s="114">
        <v>0</v>
      </c>
      <c r="G303" s="222"/>
      <c r="I303" s="233"/>
      <c r="J303" s="233">
        <v>0</v>
      </c>
      <c r="K303" s="234">
        <f t="shared" si="9"/>
        <v>0</v>
      </c>
      <c r="L303" s="234"/>
    </row>
    <row r="304" spans="1:12" ht="84.75" customHeight="1" hidden="1">
      <c r="A304" s="59" t="s">
        <v>620</v>
      </c>
      <c r="B304" s="20" t="s">
        <v>614</v>
      </c>
      <c r="C304" s="58">
        <v>200</v>
      </c>
      <c r="D304" s="77"/>
      <c r="E304" s="77"/>
      <c r="F304" s="114">
        <v>0</v>
      </c>
      <c r="G304" s="222"/>
      <c r="I304" s="233"/>
      <c r="J304" s="233">
        <v>0</v>
      </c>
      <c r="K304" s="234">
        <f t="shared" si="9"/>
        <v>0</v>
      </c>
      <c r="L304" s="234"/>
    </row>
    <row r="305" spans="1:12" ht="50.25" customHeight="1">
      <c r="A305" s="59" t="s">
        <v>882</v>
      </c>
      <c r="B305" s="20" t="s">
        <v>912</v>
      </c>
      <c r="C305" s="58">
        <v>200</v>
      </c>
      <c r="D305" s="77"/>
      <c r="E305" s="77"/>
      <c r="F305" s="114">
        <v>1016533.33</v>
      </c>
      <c r="G305" s="222">
        <v>816533.33</v>
      </c>
      <c r="I305" s="233">
        <v>816533.33</v>
      </c>
      <c r="J305" s="233">
        <v>1016533.33</v>
      </c>
      <c r="K305" s="234">
        <f t="shared" si="9"/>
        <v>1016533.33</v>
      </c>
      <c r="L305" s="234"/>
    </row>
    <row r="306" spans="1:12" ht="66" customHeight="1">
      <c r="A306" s="59" t="s">
        <v>622</v>
      </c>
      <c r="B306" s="20" t="s">
        <v>621</v>
      </c>
      <c r="C306" s="58">
        <v>200</v>
      </c>
      <c r="D306" s="77"/>
      <c r="E306" s="77">
        <v>-119659.25</v>
      </c>
      <c r="F306" s="114">
        <v>0</v>
      </c>
      <c r="G306" s="222">
        <v>119659.25</v>
      </c>
      <c r="I306" s="233">
        <v>119659.25</v>
      </c>
      <c r="J306" s="233">
        <v>119659.25</v>
      </c>
      <c r="K306" s="234">
        <f t="shared" si="9"/>
        <v>0</v>
      </c>
      <c r="L306" s="234"/>
    </row>
    <row r="307" spans="1:12" ht="66" customHeight="1" hidden="1">
      <c r="A307" s="59" t="s">
        <v>729</v>
      </c>
      <c r="B307" s="20" t="s">
        <v>728</v>
      </c>
      <c r="C307" s="58">
        <v>200</v>
      </c>
      <c r="D307" s="77"/>
      <c r="E307" s="77"/>
      <c r="F307" s="114">
        <v>0</v>
      </c>
      <c r="G307" s="222"/>
      <c r="I307" s="233"/>
      <c r="J307" s="233">
        <v>0</v>
      </c>
      <c r="K307" s="234">
        <f t="shared" si="9"/>
        <v>0</v>
      </c>
      <c r="L307" s="234"/>
    </row>
    <row r="308" spans="1:12" ht="51.75" customHeight="1" hidden="1">
      <c r="A308" s="59" t="s">
        <v>737</v>
      </c>
      <c r="B308" s="20" t="s">
        <v>736</v>
      </c>
      <c r="C308" s="58">
        <v>200</v>
      </c>
      <c r="D308" s="77"/>
      <c r="E308" s="77"/>
      <c r="F308" s="114">
        <v>0</v>
      </c>
      <c r="G308" s="222">
        <v>4289425.6</v>
      </c>
      <c r="H308" s="114">
        <v>4289425.6</v>
      </c>
      <c r="I308" s="233">
        <v>0</v>
      </c>
      <c r="J308" s="233">
        <v>0</v>
      </c>
      <c r="K308" s="234">
        <f t="shared" si="9"/>
        <v>0</v>
      </c>
      <c r="L308" s="234"/>
    </row>
    <row r="309" spans="1:12" ht="114.75" customHeight="1">
      <c r="A309" s="60" t="s">
        <v>1215</v>
      </c>
      <c r="B309" s="20" t="s">
        <v>1226</v>
      </c>
      <c r="C309" s="58">
        <v>800</v>
      </c>
      <c r="D309" s="77"/>
      <c r="E309" s="77"/>
      <c r="F309" s="114">
        <v>69684.75</v>
      </c>
      <c r="G309" s="222">
        <v>69684.75</v>
      </c>
      <c r="I309" s="233">
        <v>69684.75</v>
      </c>
      <c r="J309" s="233">
        <v>69684.75</v>
      </c>
      <c r="K309" s="234">
        <f t="shared" si="9"/>
        <v>69684.75</v>
      </c>
      <c r="L309" s="234"/>
    </row>
    <row r="310" spans="1:12" ht="32.25" customHeight="1">
      <c r="A310" s="156" t="s">
        <v>1224</v>
      </c>
      <c r="B310" s="20" t="s">
        <v>1260</v>
      </c>
      <c r="C310" s="58">
        <v>800</v>
      </c>
      <c r="D310" s="77"/>
      <c r="E310" s="77"/>
      <c r="F310" s="454">
        <v>300000</v>
      </c>
      <c r="G310" s="222">
        <v>380000</v>
      </c>
      <c r="I310" s="233">
        <v>380000</v>
      </c>
      <c r="J310" s="233">
        <v>300000</v>
      </c>
      <c r="K310" s="234">
        <f t="shared" si="9"/>
        <v>300000</v>
      </c>
      <c r="L310" s="234"/>
    </row>
    <row r="311" spans="1:12" ht="143.25" customHeight="1" hidden="1">
      <c r="A311" s="59" t="s">
        <v>609</v>
      </c>
      <c r="B311" s="20" t="s">
        <v>607</v>
      </c>
      <c r="C311" s="58">
        <v>800</v>
      </c>
      <c r="D311" s="77"/>
      <c r="E311" s="77"/>
      <c r="F311" s="77">
        <v>0</v>
      </c>
      <c r="G311" s="224"/>
      <c r="I311" s="233"/>
      <c r="J311" s="233">
        <v>0</v>
      </c>
      <c r="K311" s="234">
        <f t="shared" si="9"/>
        <v>0</v>
      </c>
      <c r="L311" s="234"/>
    </row>
    <row r="312" spans="1:12" ht="80.25" customHeight="1">
      <c r="A312" s="156" t="s">
        <v>1359</v>
      </c>
      <c r="B312" s="112" t="s">
        <v>465</v>
      </c>
      <c r="C312" s="113">
        <v>200</v>
      </c>
      <c r="D312" s="114">
        <v>59850</v>
      </c>
      <c r="E312" s="114"/>
      <c r="F312" s="169">
        <v>61406.66</v>
      </c>
      <c r="G312" s="222">
        <v>79272</v>
      </c>
      <c r="I312" s="233">
        <v>61039.02</v>
      </c>
      <c r="J312" s="233">
        <v>61406.66</v>
      </c>
      <c r="K312" s="234">
        <f t="shared" si="9"/>
        <v>61406.66</v>
      </c>
      <c r="L312" s="234"/>
    </row>
    <row r="313" spans="1:12" ht="67.5" customHeight="1">
      <c r="A313" s="156" t="s">
        <v>1558</v>
      </c>
      <c r="B313" s="112" t="s">
        <v>1565</v>
      </c>
      <c r="C313" s="113">
        <v>200</v>
      </c>
      <c r="D313" s="114"/>
      <c r="E313" s="114"/>
      <c r="F313" s="114">
        <v>898633.33</v>
      </c>
      <c r="G313" s="222"/>
      <c r="I313" s="233"/>
      <c r="J313" s="233">
        <v>898633.33</v>
      </c>
      <c r="K313" s="234">
        <f t="shared" si="9"/>
        <v>898633.33</v>
      </c>
      <c r="L313" s="234"/>
    </row>
    <row r="314" spans="1:12" ht="67.5" customHeight="1">
      <c r="A314" s="156" t="s">
        <v>1562</v>
      </c>
      <c r="B314" s="112" t="s">
        <v>1566</v>
      </c>
      <c r="C314" s="113">
        <v>200</v>
      </c>
      <c r="D314" s="114"/>
      <c r="E314" s="114"/>
      <c r="F314" s="114">
        <v>0</v>
      </c>
      <c r="G314" s="222"/>
      <c r="I314" s="233"/>
      <c r="J314" s="233">
        <v>0</v>
      </c>
      <c r="K314" s="234">
        <f t="shared" si="9"/>
        <v>0</v>
      </c>
      <c r="L314" s="234"/>
    </row>
    <row r="315" spans="1:12" ht="67.5" customHeight="1">
      <c r="A315" s="156" t="s">
        <v>1601</v>
      </c>
      <c r="B315" s="112" t="s">
        <v>1566</v>
      </c>
      <c r="C315" s="113">
        <v>400</v>
      </c>
      <c r="D315" s="114"/>
      <c r="E315" s="114"/>
      <c r="F315" s="114">
        <v>101000</v>
      </c>
      <c r="G315" s="222"/>
      <c r="I315" s="233"/>
      <c r="J315" s="233">
        <v>101000</v>
      </c>
      <c r="K315" s="234">
        <f t="shared" si="9"/>
        <v>101000</v>
      </c>
      <c r="L315" s="234"/>
    </row>
    <row r="316" spans="1:12" ht="53.25" customHeight="1">
      <c r="A316" s="156" t="s">
        <v>1563</v>
      </c>
      <c r="B316" s="112" t="s">
        <v>1566</v>
      </c>
      <c r="C316" s="113">
        <v>800</v>
      </c>
      <c r="D316" s="114"/>
      <c r="E316" s="114"/>
      <c r="F316" s="114">
        <v>20200</v>
      </c>
      <c r="G316" s="222"/>
      <c r="I316" s="233"/>
      <c r="J316" s="233">
        <v>20200</v>
      </c>
      <c r="K316" s="234">
        <f t="shared" si="9"/>
        <v>20200</v>
      </c>
      <c r="L316" s="234"/>
    </row>
    <row r="317" spans="1:12" ht="23.25" customHeight="1">
      <c r="A317" s="122" t="s">
        <v>1594</v>
      </c>
      <c r="B317" s="112" t="s">
        <v>1599</v>
      </c>
      <c r="C317" s="113">
        <v>800</v>
      </c>
      <c r="D317" s="114"/>
      <c r="E317" s="114"/>
      <c r="F317" s="114">
        <v>15000</v>
      </c>
      <c r="G317" s="222"/>
      <c r="I317" s="233"/>
      <c r="J317" s="233">
        <v>15000</v>
      </c>
      <c r="K317" s="234">
        <f t="shared" si="9"/>
        <v>15000</v>
      </c>
      <c r="L317" s="234"/>
    </row>
    <row r="318" spans="1:12" ht="53.25" customHeight="1">
      <c r="A318" s="156" t="s">
        <v>1547</v>
      </c>
      <c r="B318" s="112" t="s">
        <v>1549</v>
      </c>
      <c r="C318" s="113">
        <v>200</v>
      </c>
      <c r="D318" s="114"/>
      <c r="E318" s="114"/>
      <c r="F318" s="169">
        <v>310167</v>
      </c>
      <c r="G318" s="222"/>
      <c r="I318" s="233"/>
      <c r="J318" s="233">
        <v>310167</v>
      </c>
      <c r="K318" s="234">
        <f t="shared" si="9"/>
        <v>310167</v>
      </c>
      <c r="L318" s="234"/>
    </row>
    <row r="319" spans="1:12" ht="130.5" customHeight="1">
      <c r="A319" s="156" t="s">
        <v>599</v>
      </c>
      <c r="B319" s="112" t="s">
        <v>726</v>
      </c>
      <c r="C319" s="113">
        <v>200</v>
      </c>
      <c r="D319" s="114">
        <v>63180</v>
      </c>
      <c r="E319" s="114"/>
      <c r="F319" s="169">
        <v>140392</v>
      </c>
      <c r="G319" s="222">
        <v>140392</v>
      </c>
      <c r="I319" s="233">
        <v>140392</v>
      </c>
      <c r="J319" s="233">
        <v>140392</v>
      </c>
      <c r="K319" s="234">
        <f aca="true" t="shared" si="11" ref="K319:K330">J319+E319</f>
        <v>140392</v>
      </c>
      <c r="L319" s="234"/>
    </row>
    <row r="320" spans="1:12" ht="66" customHeight="1" hidden="1">
      <c r="A320" s="156" t="s">
        <v>466</v>
      </c>
      <c r="B320" s="112" t="s">
        <v>467</v>
      </c>
      <c r="C320" s="113">
        <v>600</v>
      </c>
      <c r="D320" s="114"/>
      <c r="E320" s="114"/>
      <c r="F320" s="114">
        <v>0</v>
      </c>
      <c r="G320" s="224"/>
      <c r="I320" s="233"/>
      <c r="J320" s="233">
        <v>0</v>
      </c>
      <c r="K320" s="234">
        <f t="shared" si="11"/>
        <v>0</v>
      </c>
      <c r="L320" s="234"/>
    </row>
    <row r="321" spans="1:12" ht="81" customHeight="1">
      <c r="A321" s="156" t="s">
        <v>1517</v>
      </c>
      <c r="B321" s="112" t="s">
        <v>468</v>
      </c>
      <c r="C321" s="113">
        <v>800</v>
      </c>
      <c r="D321" s="114"/>
      <c r="E321" s="114"/>
      <c r="F321" s="169">
        <v>1035000</v>
      </c>
      <c r="G321" s="224">
        <v>1035000</v>
      </c>
      <c r="I321" s="233">
        <v>0</v>
      </c>
      <c r="J321" s="233">
        <v>1035000</v>
      </c>
      <c r="K321" s="234">
        <f t="shared" si="11"/>
        <v>1035000</v>
      </c>
      <c r="L321" s="234"/>
    </row>
    <row r="322" spans="1:12" ht="159" customHeight="1">
      <c r="A322" s="157" t="s">
        <v>469</v>
      </c>
      <c r="B322" s="112" t="s">
        <v>470</v>
      </c>
      <c r="C322" s="113">
        <v>600</v>
      </c>
      <c r="D322" s="114">
        <v>208560</v>
      </c>
      <c r="E322" s="114"/>
      <c r="F322" s="114">
        <v>5606660</v>
      </c>
      <c r="G322" s="224">
        <v>6000642.75</v>
      </c>
      <c r="H322" s="145"/>
      <c r="I322" s="233">
        <v>6044183</v>
      </c>
      <c r="J322" s="233">
        <v>5606660</v>
      </c>
      <c r="K322" s="234">
        <f t="shared" si="11"/>
        <v>5606660</v>
      </c>
      <c r="L322" s="234"/>
    </row>
    <row r="323" spans="1:12" ht="48.75" customHeight="1">
      <c r="A323" s="120" t="s">
        <v>471</v>
      </c>
      <c r="B323" s="22" t="s">
        <v>472</v>
      </c>
      <c r="C323" s="152"/>
      <c r="D323" s="124">
        <f aca="true" t="shared" si="12" ref="D323:G326">D324</f>
        <v>0</v>
      </c>
      <c r="E323" s="124">
        <f t="shared" si="12"/>
        <v>-2875.77</v>
      </c>
      <c r="F323" s="124">
        <f>F324</f>
        <v>3481.9700000000007</v>
      </c>
      <c r="G323" s="220">
        <f>G324</f>
        <v>5220</v>
      </c>
      <c r="I323" s="233">
        <v>9106</v>
      </c>
      <c r="J323" s="233">
        <v>6357.740000000001</v>
      </c>
      <c r="K323" s="234">
        <f t="shared" si="11"/>
        <v>3481.9700000000007</v>
      </c>
      <c r="L323" s="234"/>
    </row>
    <row r="324" spans="1:12" ht="15.75">
      <c r="A324" s="121" t="s">
        <v>2</v>
      </c>
      <c r="B324" s="19" t="s">
        <v>473</v>
      </c>
      <c r="C324" s="57"/>
      <c r="D324" s="80">
        <f t="shared" si="12"/>
        <v>0</v>
      </c>
      <c r="E324" s="80">
        <f t="shared" si="12"/>
        <v>-2875.77</v>
      </c>
      <c r="F324" s="80">
        <f t="shared" si="12"/>
        <v>3481.9700000000007</v>
      </c>
      <c r="G324" s="221">
        <f t="shared" si="12"/>
        <v>5220</v>
      </c>
      <c r="I324" s="233">
        <v>9106</v>
      </c>
      <c r="J324" s="233">
        <v>6357.740000000001</v>
      </c>
      <c r="K324" s="234">
        <f t="shared" si="11"/>
        <v>3481.9700000000007</v>
      </c>
      <c r="L324" s="234"/>
    </row>
    <row r="325" spans="1:12" ht="51" customHeight="1">
      <c r="A325" s="156" t="s">
        <v>1551</v>
      </c>
      <c r="B325" s="112" t="s">
        <v>474</v>
      </c>
      <c r="C325" s="113">
        <v>200</v>
      </c>
      <c r="D325" s="114"/>
      <c r="E325" s="114">
        <v>-2875.77</v>
      </c>
      <c r="F325" s="114">
        <v>3481.9700000000007</v>
      </c>
      <c r="G325" s="224">
        <v>5220</v>
      </c>
      <c r="H325" s="145"/>
      <c r="I325" s="233">
        <v>9106</v>
      </c>
      <c r="J325" s="233">
        <v>6357.740000000001</v>
      </c>
      <c r="K325" s="234">
        <f t="shared" si="11"/>
        <v>3481.9700000000007</v>
      </c>
      <c r="L325" s="234"/>
    </row>
    <row r="326" spans="1:12" ht="48" customHeight="1">
      <c r="A326" s="120" t="s">
        <v>477</v>
      </c>
      <c r="B326" s="22" t="s">
        <v>475</v>
      </c>
      <c r="C326" s="152"/>
      <c r="D326" s="124" t="e">
        <f t="shared" si="12"/>
        <v>#REF!</v>
      </c>
      <c r="E326" s="124">
        <f t="shared" si="12"/>
        <v>0</v>
      </c>
      <c r="F326" s="124">
        <f>F327</f>
        <v>0</v>
      </c>
      <c r="G326" s="220">
        <f>G327</f>
        <v>0</v>
      </c>
      <c r="I326" s="233">
        <v>0</v>
      </c>
      <c r="J326" s="233">
        <v>0</v>
      </c>
      <c r="K326" s="234">
        <f t="shared" si="11"/>
        <v>0</v>
      </c>
      <c r="L326" s="234"/>
    </row>
    <row r="327" spans="1:12" ht="15.75">
      <c r="A327" s="121" t="s">
        <v>2</v>
      </c>
      <c r="B327" s="19" t="s">
        <v>476</v>
      </c>
      <c r="C327" s="57"/>
      <c r="D327" s="80" t="e">
        <f>#REF!</f>
        <v>#REF!</v>
      </c>
      <c r="E327" s="80">
        <f>SUM(E328:E329)</f>
        <v>0</v>
      </c>
      <c r="F327" s="80">
        <f>SUM(F328:F329)</f>
        <v>0</v>
      </c>
      <c r="G327" s="221">
        <f>SUM(G329:G329)</f>
        <v>0</v>
      </c>
      <c r="H327" s="145"/>
      <c r="I327" s="233">
        <v>0</v>
      </c>
      <c r="J327" s="233">
        <v>0</v>
      </c>
      <c r="K327" s="234">
        <f t="shared" si="11"/>
        <v>0</v>
      </c>
      <c r="L327" s="234"/>
    </row>
    <row r="328" spans="1:12" ht="81" customHeight="1" hidden="1">
      <c r="A328" s="248" t="s">
        <v>1325</v>
      </c>
      <c r="B328" s="112" t="s">
        <v>1317</v>
      </c>
      <c r="C328" s="113">
        <v>600</v>
      </c>
      <c r="D328" s="114"/>
      <c r="E328" s="114"/>
      <c r="F328" s="114">
        <v>0</v>
      </c>
      <c r="G328" s="222">
        <v>0</v>
      </c>
      <c r="H328" s="114">
        <v>300000</v>
      </c>
      <c r="I328" s="233">
        <v>0</v>
      </c>
      <c r="J328" s="233">
        <v>0</v>
      </c>
      <c r="K328" s="234">
        <f t="shared" si="11"/>
        <v>0</v>
      </c>
      <c r="L328" s="234"/>
    </row>
    <row r="329" spans="1:12" ht="66" customHeight="1">
      <c r="A329" s="59" t="s">
        <v>1152</v>
      </c>
      <c r="B329" s="20" t="s">
        <v>1151</v>
      </c>
      <c r="C329" s="58">
        <v>200</v>
      </c>
      <c r="D329" s="77"/>
      <c r="E329" s="77"/>
      <c r="F329" s="77">
        <v>0</v>
      </c>
      <c r="G329" s="224"/>
      <c r="I329" s="233"/>
      <c r="J329" s="233">
        <v>0</v>
      </c>
      <c r="K329" s="234">
        <f t="shared" si="11"/>
        <v>0</v>
      </c>
      <c r="L329" s="234"/>
    </row>
    <row r="330" spans="1:12" ht="15.75">
      <c r="A330" s="120" t="s">
        <v>168</v>
      </c>
      <c r="B330" s="161"/>
      <c r="C330" s="161"/>
      <c r="D330" s="162" t="e">
        <f>D11+D18+D54+D71+D84+D109+D123+D147+D187+D197+D259+D290+D299+#REF!+#REF!+#REF!+D323</f>
        <v>#REF!</v>
      </c>
      <c r="E330" s="266">
        <f>E11+E18+E54+E71+E84+E109+E123+E147+E187+E197+E259+E290+E299+E323+E326</f>
        <v>3076256.79</v>
      </c>
      <c r="F330" s="266">
        <f>F11+F18+F54+F71+F84+F109+F123+F147+F187+F197+F259+F290+F299+F323+F326</f>
        <v>367647717.0300001</v>
      </c>
      <c r="G330" s="227" t="e">
        <f>G11+G18+G54+G71+G84+G109+G123+G147+G187+G197+G259+G290+G299+G323+G326</f>
        <v>#REF!</v>
      </c>
      <c r="H330" s="145">
        <f>F330-E330</f>
        <v>364571460.24000007</v>
      </c>
      <c r="I330" s="233">
        <v>393166312.21999997</v>
      </c>
      <c r="J330" s="233">
        <v>364571460.24</v>
      </c>
      <c r="K330" s="234">
        <f t="shared" si="11"/>
        <v>367647717.03000003</v>
      </c>
      <c r="L330" s="234"/>
    </row>
    <row r="331" ht="12.75">
      <c r="L331" s="234"/>
    </row>
    <row r="332" spans="6:12" ht="12.75">
      <c r="F332" s="437"/>
      <c r="L332" s="234"/>
    </row>
    <row r="333" ht="12.75">
      <c r="F333" s="415"/>
    </row>
    <row r="334" spans="5:6" ht="12.75">
      <c r="E334" s="145"/>
      <c r="F334" s="414"/>
    </row>
    <row r="335" ht="12.75">
      <c r="F335" s="414"/>
    </row>
    <row r="336" ht="12.75">
      <c r="F336" s="414"/>
    </row>
    <row r="337" ht="12.75">
      <c r="F337" s="415"/>
    </row>
  </sheetData>
  <sheetProtection/>
  <mergeCells count="9">
    <mergeCell ref="A1:F1"/>
    <mergeCell ref="A2:F2"/>
    <mergeCell ref="A3:F3"/>
    <mergeCell ref="B8:B9"/>
    <mergeCell ref="C8:C9"/>
    <mergeCell ref="A8:A9"/>
    <mergeCell ref="D8:F8"/>
    <mergeCell ref="A5:F5"/>
    <mergeCell ref="A6:F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M312"/>
  <sheetViews>
    <sheetView view="pageBreakPreview" zoomScale="60" zoomScaleNormal="80" workbookViewId="0" topLeftCell="A300">
      <selection activeCell="O356" sqref="O356"/>
    </sheetView>
  </sheetViews>
  <sheetFormatPr defaultColWidth="9.140625" defaultRowHeight="12.75"/>
  <cols>
    <col min="1" max="1" width="73.7109375" style="104" customWidth="1"/>
    <col min="2" max="2" width="16.140625" style="104" customWidth="1"/>
    <col min="3" max="3" width="17.421875" style="104" customWidth="1"/>
    <col min="4" max="4" width="14.7109375" style="104" hidden="1" customWidth="1"/>
    <col min="5" max="6" width="18.8515625" style="104" customWidth="1"/>
    <col min="7" max="8" width="17.140625" style="217" hidden="1" customWidth="1"/>
    <col min="9" max="10" width="25.8515625" style="104" hidden="1" customWidth="1"/>
    <col min="11" max="11" width="1.7109375" style="233" customWidth="1"/>
    <col min="12" max="12" width="42.421875" style="233" hidden="1" customWidth="1"/>
    <col min="13" max="13" width="15.57421875" style="233" customWidth="1"/>
    <col min="14" max="16384" width="9.140625" style="104" customWidth="1"/>
  </cols>
  <sheetData>
    <row r="1" spans="1:6" ht="18" customHeight="1">
      <c r="A1" s="528" t="s">
        <v>201</v>
      </c>
      <c r="B1" s="528"/>
      <c r="C1" s="528"/>
      <c r="D1" s="528"/>
      <c r="E1" s="528"/>
      <c r="F1" s="528"/>
    </row>
    <row r="2" spans="1:6" ht="12.75" customHeight="1">
      <c r="A2" s="528" t="s">
        <v>109</v>
      </c>
      <c r="B2" s="528"/>
      <c r="C2" s="528"/>
      <c r="D2" s="528"/>
      <c r="E2" s="528"/>
      <c r="F2" s="528"/>
    </row>
    <row r="3" spans="1:6" ht="15.75">
      <c r="A3" s="528" t="s">
        <v>1519</v>
      </c>
      <c r="B3" s="528"/>
      <c r="C3" s="528"/>
      <c r="D3" s="528"/>
      <c r="E3" s="528"/>
      <c r="F3" s="528"/>
    </row>
    <row r="4" spans="1:6" ht="87" customHeight="1">
      <c r="A4" s="529" t="s">
        <v>1459</v>
      </c>
      <c r="B4" s="529"/>
      <c r="C4" s="529"/>
      <c r="D4" s="529"/>
      <c r="E4" s="529"/>
      <c r="F4" s="529"/>
    </row>
    <row r="5" spans="1:6" ht="15.75">
      <c r="A5" s="513"/>
      <c r="B5" s="513"/>
      <c r="C5" s="513"/>
      <c r="D5" s="513"/>
      <c r="E5" s="513"/>
      <c r="F5" s="513"/>
    </row>
    <row r="6" spans="1:2" ht="12.75">
      <c r="A6" s="4"/>
      <c r="B6" s="130"/>
    </row>
    <row r="7" spans="1:8" ht="37.5" customHeight="1">
      <c r="A7" s="545" t="s">
        <v>154</v>
      </c>
      <c r="B7" s="545" t="s">
        <v>303</v>
      </c>
      <c r="C7" s="545" t="s">
        <v>309</v>
      </c>
      <c r="D7" s="545" t="s">
        <v>203</v>
      </c>
      <c r="E7" s="545"/>
      <c r="F7" s="545"/>
      <c r="G7" s="546" t="s">
        <v>1313</v>
      </c>
      <c r="H7" s="547"/>
    </row>
    <row r="8" spans="1:8" ht="30" customHeight="1">
      <c r="A8" s="545"/>
      <c r="B8" s="545"/>
      <c r="C8" s="545"/>
      <c r="D8" s="150" t="s">
        <v>220</v>
      </c>
      <c r="E8" s="187" t="s">
        <v>627</v>
      </c>
      <c r="F8" s="187" t="s">
        <v>849</v>
      </c>
      <c r="G8" s="228" t="s">
        <v>626</v>
      </c>
      <c r="H8" s="229" t="s">
        <v>627</v>
      </c>
    </row>
    <row r="9" spans="1:8" ht="16.5" customHeight="1">
      <c r="A9" s="151">
        <v>1</v>
      </c>
      <c r="B9" s="151">
        <v>2</v>
      </c>
      <c r="C9" s="151">
        <v>3</v>
      </c>
      <c r="D9" s="151">
        <v>4</v>
      </c>
      <c r="E9" s="151">
        <v>4</v>
      </c>
      <c r="F9" s="151">
        <v>5</v>
      </c>
      <c r="G9" s="219">
        <v>4</v>
      </c>
      <c r="H9" s="219">
        <v>5</v>
      </c>
    </row>
    <row r="10" spans="1:8" ht="36" customHeight="1">
      <c r="A10" s="120" t="s">
        <v>640</v>
      </c>
      <c r="B10" s="22" t="s">
        <v>330</v>
      </c>
      <c r="C10" s="102"/>
      <c r="D10" s="124">
        <f>D11</f>
        <v>-816000</v>
      </c>
      <c r="E10" s="124">
        <f>E11+E14</f>
        <v>1000000</v>
      </c>
      <c r="F10" s="124">
        <f>F11+F14</f>
        <v>1000000</v>
      </c>
      <c r="G10" s="220">
        <f>G11+G14</f>
        <v>1000000</v>
      </c>
      <c r="H10" s="220">
        <f>H11+H14</f>
        <v>1000000</v>
      </c>
    </row>
    <row r="11" spans="1:8" ht="31.5">
      <c r="A11" s="107" t="s">
        <v>1265</v>
      </c>
      <c r="B11" s="19" t="s">
        <v>331</v>
      </c>
      <c r="C11" s="57"/>
      <c r="D11" s="80">
        <f>SUM(D13:D16)</f>
        <v>-816000</v>
      </c>
      <c r="E11" s="80">
        <f>E12</f>
        <v>700000</v>
      </c>
      <c r="F11" s="80">
        <f>F12</f>
        <v>700000</v>
      </c>
      <c r="G11" s="221">
        <f>G12</f>
        <v>700000</v>
      </c>
      <c r="H11" s="221">
        <f>H12</f>
        <v>700000</v>
      </c>
    </row>
    <row r="12" spans="1:8" ht="31.5">
      <c r="A12" s="107" t="s">
        <v>888</v>
      </c>
      <c r="B12" s="19" t="s">
        <v>332</v>
      </c>
      <c r="C12" s="57"/>
      <c r="D12" s="80"/>
      <c r="E12" s="80">
        <f>SUM(E13)</f>
        <v>700000</v>
      </c>
      <c r="F12" s="80">
        <f>SUM(F13)</f>
        <v>700000</v>
      </c>
      <c r="G12" s="221">
        <f>SUM(G13)</f>
        <v>700000</v>
      </c>
      <c r="H12" s="221">
        <f>SUM(H13)</f>
        <v>700000</v>
      </c>
    </row>
    <row r="13" spans="1:8" ht="63">
      <c r="A13" s="63" t="s">
        <v>577</v>
      </c>
      <c r="B13" s="20" t="s">
        <v>333</v>
      </c>
      <c r="C13" s="58">
        <v>200</v>
      </c>
      <c r="D13" s="77">
        <v>-360000</v>
      </c>
      <c r="E13" s="169">
        <v>700000</v>
      </c>
      <c r="F13" s="169">
        <v>700000</v>
      </c>
      <c r="G13" s="222">
        <v>700000</v>
      </c>
      <c r="H13" s="224">
        <v>700000</v>
      </c>
    </row>
    <row r="14" spans="1:8" ht="31.5">
      <c r="A14" s="107" t="s">
        <v>1266</v>
      </c>
      <c r="B14" s="19" t="s">
        <v>1268</v>
      </c>
      <c r="C14" s="57"/>
      <c r="D14" s="77"/>
      <c r="E14" s="103">
        <f aca="true" t="shared" si="0" ref="E14:H15">E15</f>
        <v>300000</v>
      </c>
      <c r="F14" s="103">
        <f t="shared" si="0"/>
        <v>300000</v>
      </c>
      <c r="G14" s="223">
        <f t="shared" si="0"/>
        <v>300000</v>
      </c>
      <c r="H14" s="223">
        <f t="shared" si="0"/>
        <v>300000</v>
      </c>
    </row>
    <row r="15" spans="1:8" ht="31.5">
      <c r="A15" s="107" t="s">
        <v>864</v>
      </c>
      <c r="B15" s="19" t="s">
        <v>1267</v>
      </c>
      <c r="C15" s="57"/>
      <c r="D15" s="77"/>
      <c r="E15" s="103">
        <f t="shared" si="0"/>
        <v>300000</v>
      </c>
      <c r="F15" s="103">
        <f t="shared" si="0"/>
        <v>300000</v>
      </c>
      <c r="G15" s="223">
        <f t="shared" si="0"/>
        <v>300000</v>
      </c>
      <c r="H15" s="223">
        <f t="shared" si="0"/>
        <v>300000</v>
      </c>
    </row>
    <row r="16" spans="1:8" ht="63" customHeight="1">
      <c r="A16" s="63" t="s">
        <v>578</v>
      </c>
      <c r="B16" s="20" t="s">
        <v>1269</v>
      </c>
      <c r="C16" s="58">
        <v>200</v>
      </c>
      <c r="D16" s="77">
        <v>-456000</v>
      </c>
      <c r="E16" s="114">
        <v>300000</v>
      </c>
      <c r="F16" s="114">
        <v>300000</v>
      </c>
      <c r="G16" s="222">
        <v>300000</v>
      </c>
      <c r="H16" s="224">
        <v>300000</v>
      </c>
    </row>
    <row r="17" spans="1:8" ht="31.5">
      <c r="A17" s="120" t="s">
        <v>851</v>
      </c>
      <c r="B17" s="22" t="s">
        <v>334</v>
      </c>
      <c r="C17" s="152"/>
      <c r="D17" s="124" t="e">
        <f>D18+D24+#REF!+#REF!+#REF!+#REF!</f>
        <v>#REF!</v>
      </c>
      <c r="E17" s="124">
        <f>E18+E24+E46+E49</f>
        <v>41680055.34</v>
      </c>
      <c r="F17" s="124">
        <f>F18+F24+F46+F49</f>
        <v>41679793.34</v>
      </c>
      <c r="G17" s="220">
        <f>G18+G24+G46+G49</f>
        <v>40612436.20999999</v>
      </c>
      <c r="H17" s="220">
        <f>H18+H24+H46+H49</f>
        <v>40153257.68</v>
      </c>
    </row>
    <row r="18" spans="1:8" ht="31.5">
      <c r="A18" s="121" t="s">
        <v>335</v>
      </c>
      <c r="B18" s="19" t="s">
        <v>336</v>
      </c>
      <c r="C18" s="57"/>
      <c r="D18" s="80">
        <f>SUM(D20:D20)</f>
        <v>-47100</v>
      </c>
      <c r="E18" s="80">
        <f>E19+E21</f>
        <v>1352801.12</v>
      </c>
      <c r="F18" s="80">
        <f>F19+F21</f>
        <v>1352801.12</v>
      </c>
      <c r="G18" s="221">
        <f>G19+G21</f>
        <v>1335753.76</v>
      </c>
      <c r="H18" s="221">
        <f>H19+H21</f>
        <v>1335753.76</v>
      </c>
    </row>
    <row r="19" spans="1:8" ht="31.5">
      <c r="A19" s="121" t="s">
        <v>337</v>
      </c>
      <c r="B19" s="19" t="s">
        <v>338</v>
      </c>
      <c r="C19" s="57"/>
      <c r="D19" s="80"/>
      <c r="E19" s="80">
        <f>SUM(E20:E20)</f>
        <v>81200</v>
      </c>
      <c r="F19" s="80">
        <f>SUM(F20:F20)</f>
        <v>81200</v>
      </c>
      <c r="G19" s="221">
        <f>SUM(G20:G20)</f>
        <v>81200</v>
      </c>
      <c r="H19" s="221">
        <f>SUM(H20:H20)</f>
        <v>81200</v>
      </c>
    </row>
    <row r="20" spans="1:8" ht="94.5">
      <c r="A20" s="60" t="s">
        <v>916</v>
      </c>
      <c r="B20" s="20" t="s">
        <v>339</v>
      </c>
      <c r="C20" s="58">
        <v>200</v>
      </c>
      <c r="D20" s="77">
        <v>-47100</v>
      </c>
      <c r="E20" s="169">
        <v>81200</v>
      </c>
      <c r="F20" s="169">
        <v>81200</v>
      </c>
      <c r="G20" s="222">
        <v>81200</v>
      </c>
      <c r="H20" s="224">
        <v>81200</v>
      </c>
    </row>
    <row r="21" spans="1:8" ht="31.5">
      <c r="A21" s="153" t="s">
        <v>870</v>
      </c>
      <c r="B21" s="101" t="s">
        <v>865</v>
      </c>
      <c r="C21" s="102"/>
      <c r="D21" s="103"/>
      <c r="E21" s="103">
        <f>SUM(E22:E23)</f>
        <v>1271601.12</v>
      </c>
      <c r="F21" s="103">
        <f>SUM(F22:F23)</f>
        <v>1271601.12</v>
      </c>
      <c r="G21" s="223">
        <f>SUM(G22:G23)</f>
        <v>1254553.76</v>
      </c>
      <c r="H21" s="223">
        <f>SUM(H22:H23)</f>
        <v>1254553.76</v>
      </c>
    </row>
    <row r="22" spans="1:8" ht="63">
      <c r="A22" s="59" t="s">
        <v>597</v>
      </c>
      <c r="B22" s="20" t="s">
        <v>866</v>
      </c>
      <c r="C22" s="58">
        <v>200</v>
      </c>
      <c r="D22" s="77"/>
      <c r="E22" s="114">
        <v>16265.04</v>
      </c>
      <c r="F22" s="114">
        <v>16265.04</v>
      </c>
      <c r="G22" s="222">
        <v>18540.2</v>
      </c>
      <c r="H22" s="224">
        <v>18540.2</v>
      </c>
    </row>
    <row r="23" spans="1:8" ht="51" customHeight="1">
      <c r="A23" s="59" t="s">
        <v>460</v>
      </c>
      <c r="B23" s="20" t="s">
        <v>866</v>
      </c>
      <c r="C23" s="58">
        <v>300</v>
      </c>
      <c r="D23" s="77">
        <v>30000</v>
      </c>
      <c r="E23" s="169">
        <v>1255336.08</v>
      </c>
      <c r="F23" s="169">
        <v>1255336.08</v>
      </c>
      <c r="G23" s="222">
        <v>1236013.56</v>
      </c>
      <c r="H23" s="224">
        <v>1236013.56</v>
      </c>
    </row>
    <row r="24" spans="1:8" ht="31.5">
      <c r="A24" s="121" t="s">
        <v>340</v>
      </c>
      <c r="B24" s="19" t="s">
        <v>341</v>
      </c>
      <c r="C24" s="57"/>
      <c r="D24" s="80" t="e">
        <f>SUM(D28:D280)</f>
        <v>#REF!</v>
      </c>
      <c r="E24" s="80">
        <f>E25+E27+E44</f>
        <v>32314917.599999998</v>
      </c>
      <c r="F24" s="80">
        <f>F25+F27+F44</f>
        <v>32314655.599999998</v>
      </c>
      <c r="G24" s="221">
        <f>G25+G27+G44</f>
        <v>31200244.459999993</v>
      </c>
      <c r="H24" s="221">
        <f>H25+H27+H44</f>
        <v>31062766.529999997</v>
      </c>
    </row>
    <row r="25" spans="1:8" ht="47.25">
      <c r="A25" s="121" t="s">
        <v>342</v>
      </c>
      <c r="B25" s="19" t="s">
        <v>343</v>
      </c>
      <c r="C25" s="57"/>
      <c r="D25" s="80"/>
      <c r="E25" s="80">
        <f>E26</f>
        <v>1353398</v>
      </c>
      <c r="F25" s="80">
        <f>F26</f>
        <v>1353398</v>
      </c>
      <c r="G25" s="221">
        <f>G26</f>
        <v>1298844</v>
      </c>
      <c r="H25" s="221">
        <f>H26</f>
        <v>1298844</v>
      </c>
    </row>
    <row r="26" spans="1:8" ht="66.75" customHeight="1">
      <c r="A26" s="59" t="s">
        <v>344</v>
      </c>
      <c r="B26" s="20" t="s">
        <v>345</v>
      </c>
      <c r="C26" s="58">
        <v>100</v>
      </c>
      <c r="D26" s="77">
        <v>1001205</v>
      </c>
      <c r="E26" s="169">
        <v>1353398</v>
      </c>
      <c r="F26" s="169">
        <v>1353398</v>
      </c>
      <c r="G26" s="224">
        <v>1298844</v>
      </c>
      <c r="H26" s="224">
        <v>1298844</v>
      </c>
    </row>
    <row r="27" spans="1:10" ht="78.75">
      <c r="A27" s="154" t="s">
        <v>952</v>
      </c>
      <c r="B27" s="101" t="s">
        <v>346</v>
      </c>
      <c r="C27" s="102"/>
      <c r="D27" s="103"/>
      <c r="E27" s="103">
        <f>SUM(E28:E43)</f>
        <v>30334255.599999998</v>
      </c>
      <c r="F27" s="103">
        <f>SUM(F28:F43)</f>
        <v>30333993.599999998</v>
      </c>
      <c r="G27" s="223">
        <f>SUM(G28:G43)</f>
        <v>29338526.059999995</v>
      </c>
      <c r="H27" s="223">
        <f>SUM(H28:H43)</f>
        <v>29216848.529999997</v>
      </c>
      <c r="J27" s="249"/>
    </row>
    <row r="28" spans="1:8" ht="66" customHeight="1">
      <c r="A28" s="59" t="s">
        <v>735</v>
      </c>
      <c r="B28" s="20" t="s">
        <v>348</v>
      </c>
      <c r="C28" s="58">
        <v>100</v>
      </c>
      <c r="D28" s="77">
        <v>15078984</v>
      </c>
      <c r="E28" s="169">
        <v>20432302.03</v>
      </c>
      <c r="F28" s="169">
        <v>20432302.03</v>
      </c>
      <c r="G28" s="224">
        <v>19682854.39</v>
      </c>
      <c r="H28" s="224">
        <v>19682854.39</v>
      </c>
    </row>
    <row r="29" spans="1:8" ht="47.25">
      <c r="A29" s="59" t="s">
        <v>579</v>
      </c>
      <c r="B29" s="20" t="s">
        <v>348</v>
      </c>
      <c r="C29" s="58">
        <v>200</v>
      </c>
      <c r="D29" s="77">
        <v>5279911</v>
      </c>
      <c r="E29" s="114">
        <v>1584458.56</v>
      </c>
      <c r="F29" s="114">
        <v>1584458.56</v>
      </c>
      <c r="G29" s="224">
        <v>1584458.56</v>
      </c>
      <c r="H29" s="224">
        <v>1475281.03</v>
      </c>
    </row>
    <row r="30" spans="1:8" ht="31.5">
      <c r="A30" s="59" t="s">
        <v>973</v>
      </c>
      <c r="B30" s="20" t="s">
        <v>348</v>
      </c>
      <c r="C30" s="58">
        <v>300</v>
      </c>
      <c r="D30" s="77"/>
      <c r="E30" s="114">
        <v>0</v>
      </c>
      <c r="F30" s="114">
        <v>0</v>
      </c>
      <c r="G30" s="224">
        <v>0</v>
      </c>
      <c r="H30" s="224">
        <v>0</v>
      </c>
    </row>
    <row r="31" spans="1:8" ht="31.5">
      <c r="A31" s="59" t="s">
        <v>347</v>
      </c>
      <c r="B31" s="20" t="s">
        <v>348</v>
      </c>
      <c r="C31" s="58">
        <v>800</v>
      </c>
      <c r="D31" s="77">
        <v>257000</v>
      </c>
      <c r="E31" s="169">
        <v>58000</v>
      </c>
      <c r="F31" s="169">
        <v>58000</v>
      </c>
      <c r="G31" s="224">
        <v>58000</v>
      </c>
      <c r="H31" s="224">
        <v>58000</v>
      </c>
    </row>
    <row r="32" spans="1:8" ht="78.75">
      <c r="A32" s="59" t="s">
        <v>940</v>
      </c>
      <c r="B32" s="20" t="s">
        <v>548</v>
      </c>
      <c r="C32" s="58">
        <v>100</v>
      </c>
      <c r="D32" s="77"/>
      <c r="E32" s="114">
        <v>509915.28</v>
      </c>
      <c r="F32" s="114">
        <v>509915.28</v>
      </c>
      <c r="G32" s="224">
        <v>489343.68</v>
      </c>
      <c r="H32" s="224">
        <v>489343.68</v>
      </c>
    </row>
    <row r="33" spans="1:8" ht="66.75" customHeight="1">
      <c r="A33" s="59" t="s">
        <v>349</v>
      </c>
      <c r="B33" s="20" t="s">
        <v>350</v>
      </c>
      <c r="C33" s="58">
        <v>100</v>
      </c>
      <c r="D33" s="77">
        <v>644418</v>
      </c>
      <c r="E33" s="114">
        <v>247953.91999999998</v>
      </c>
      <c r="F33" s="114">
        <v>247953.91999999998</v>
      </c>
      <c r="G33" s="224">
        <v>237904.56</v>
      </c>
      <c r="H33" s="224">
        <v>237904.56</v>
      </c>
    </row>
    <row r="34" spans="1:8" ht="47.25">
      <c r="A34" s="59" t="s">
        <v>580</v>
      </c>
      <c r="B34" s="20" t="s">
        <v>350</v>
      </c>
      <c r="C34" s="58">
        <v>200</v>
      </c>
      <c r="D34" s="77">
        <v>422600</v>
      </c>
      <c r="E34" s="114">
        <v>520479</v>
      </c>
      <c r="F34" s="114">
        <v>520479</v>
      </c>
      <c r="G34" s="224">
        <v>520479</v>
      </c>
      <c r="H34" s="224">
        <v>520479</v>
      </c>
    </row>
    <row r="35" spans="1:8" ht="31.5">
      <c r="A35" s="59" t="s">
        <v>906</v>
      </c>
      <c r="B35" s="20" t="s">
        <v>350</v>
      </c>
      <c r="C35" s="58">
        <v>300</v>
      </c>
      <c r="D35" s="77"/>
      <c r="E35" s="114">
        <v>18392</v>
      </c>
      <c r="F35" s="114">
        <v>18130</v>
      </c>
      <c r="G35" s="224">
        <v>18130</v>
      </c>
      <c r="H35" s="224">
        <v>18130</v>
      </c>
    </row>
    <row r="36" spans="1:8" ht="78.75">
      <c r="A36" s="59" t="s">
        <v>535</v>
      </c>
      <c r="B36" s="20" t="s">
        <v>352</v>
      </c>
      <c r="C36" s="58">
        <v>100</v>
      </c>
      <c r="D36" s="77">
        <v>3118930</v>
      </c>
      <c r="E36" s="169">
        <v>4458745.1</v>
      </c>
      <c r="F36" s="169">
        <v>4458745.1</v>
      </c>
      <c r="G36" s="226">
        <v>4278731.61</v>
      </c>
      <c r="H36" s="226">
        <v>4278731.61</v>
      </c>
    </row>
    <row r="37" spans="1:8" ht="47.25">
      <c r="A37" s="59" t="s">
        <v>581</v>
      </c>
      <c r="B37" s="20" t="s">
        <v>352</v>
      </c>
      <c r="C37" s="58">
        <v>200</v>
      </c>
      <c r="D37" s="77">
        <v>266570</v>
      </c>
      <c r="E37" s="114">
        <v>784950.65</v>
      </c>
      <c r="F37" s="114">
        <v>784950.65</v>
      </c>
      <c r="G37" s="222">
        <v>784950.65</v>
      </c>
      <c r="H37" s="222">
        <f>784950.65-12500</f>
        <v>772450.65</v>
      </c>
    </row>
    <row r="38" spans="1:8" ht="33" customHeight="1">
      <c r="A38" s="59" t="s">
        <v>351</v>
      </c>
      <c r="B38" s="20" t="s">
        <v>352</v>
      </c>
      <c r="C38" s="58">
        <v>800</v>
      </c>
      <c r="D38" s="77"/>
      <c r="E38" s="77">
        <v>0</v>
      </c>
      <c r="F38" s="77">
        <v>0</v>
      </c>
      <c r="G38" s="224"/>
      <c r="H38" s="224"/>
    </row>
    <row r="39" spans="1:8" ht="78.75">
      <c r="A39" s="59" t="s">
        <v>555</v>
      </c>
      <c r="B39" s="20" t="s">
        <v>354</v>
      </c>
      <c r="C39" s="58">
        <v>100</v>
      </c>
      <c r="D39" s="77">
        <v>1400000</v>
      </c>
      <c r="E39" s="183">
        <f>920647.2+278035.46</f>
        <v>1198682.66</v>
      </c>
      <c r="F39" s="183">
        <f>920647.2+278035.46</f>
        <v>1198682.66</v>
      </c>
      <c r="G39" s="224">
        <v>1150297.21</v>
      </c>
      <c r="H39" s="224">
        <v>1150297.21</v>
      </c>
    </row>
    <row r="40" spans="1:8" ht="47.25">
      <c r="A40" s="59" t="s">
        <v>582</v>
      </c>
      <c r="B40" s="20" t="s">
        <v>354</v>
      </c>
      <c r="C40" s="58">
        <v>200</v>
      </c>
      <c r="D40" s="77"/>
      <c r="E40" s="408">
        <f>500+4000+5000+188966.4+16110</f>
        <v>214576.4</v>
      </c>
      <c r="F40" s="408">
        <f>500+4000+5000+188966.4+16110</f>
        <v>214576.4</v>
      </c>
      <c r="G40" s="224">
        <v>227576.4</v>
      </c>
      <c r="H40" s="224">
        <v>227576.4</v>
      </c>
    </row>
    <row r="41" spans="1:8" ht="63" hidden="1">
      <c r="A41" s="59" t="s">
        <v>583</v>
      </c>
      <c r="B41" s="20" t="s">
        <v>355</v>
      </c>
      <c r="C41" s="58">
        <v>200</v>
      </c>
      <c r="D41" s="77"/>
      <c r="E41" s="77"/>
      <c r="F41" s="77"/>
      <c r="G41" s="224"/>
      <c r="H41" s="224"/>
    </row>
    <row r="42" spans="1:8" ht="50.25" customHeight="1">
      <c r="A42" s="156" t="s">
        <v>606</v>
      </c>
      <c r="B42" s="20" t="s">
        <v>1225</v>
      </c>
      <c r="C42" s="58">
        <v>300</v>
      </c>
      <c r="D42" s="77"/>
      <c r="E42" s="169">
        <v>9000</v>
      </c>
      <c r="F42" s="169">
        <v>9000</v>
      </c>
      <c r="G42" s="222">
        <v>9000</v>
      </c>
      <c r="H42" s="224">
        <v>9000</v>
      </c>
    </row>
    <row r="43" spans="1:8" ht="51" customHeight="1">
      <c r="A43" s="59" t="s">
        <v>584</v>
      </c>
      <c r="B43" s="20" t="s">
        <v>356</v>
      </c>
      <c r="C43" s="58">
        <v>200</v>
      </c>
      <c r="D43" s="77">
        <v>302040</v>
      </c>
      <c r="E43" s="169">
        <v>296800</v>
      </c>
      <c r="F43" s="169">
        <v>296800</v>
      </c>
      <c r="G43" s="222">
        <v>296800</v>
      </c>
      <c r="H43" s="224">
        <v>296800</v>
      </c>
    </row>
    <row r="44" spans="1:8" ht="15.75">
      <c r="A44" s="154" t="s">
        <v>357</v>
      </c>
      <c r="B44" s="101" t="s">
        <v>358</v>
      </c>
      <c r="C44" s="102"/>
      <c r="D44" s="103"/>
      <c r="E44" s="103">
        <f>E45</f>
        <v>627264</v>
      </c>
      <c r="F44" s="103">
        <f>F45</f>
        <v>627264</v>
      </c>
      <c r="G44" s="223">
        <f>G45</f>
        <v>562874.4</v>
      </c>
      <c r="H44" s="223">
        <f>H45</f>
        <v>547074</v>
      </c>
    </row>
    <row r="45" spans="1:8" ht="50.25" customHeight="1">
      <c r="A45" s="59" t="s">
        <v>585</v>
      </c>
      <c r="B45" s="20" t="s">
        <v>359</v>
      </c>
      <c r="C45" s="58">
        <v>200</v>
      </c>
      <c r="D45" s="77">
        <v>400000</v>
      </c>
      <c r="E45" s="114">
        <v>627264</v>
      </c>
      <c r="F45" s="114">
        <v>627264</v>
      </c>
      <c r="G45" s="222">
        <v>562874.4</v>
      </c>
      <c r="H45" s="224">
        <v>547074</v>
      </c>
    </row>
    <row r="46" spans="1:8" ht="31.5">
      <c r="A46" s="154" t="s">
        <v>360</v>
      </c>
      <c r="B46" s="101" t="s">
        <v>362</v>
      </c>
      <c r="C46" s="102"/>
      <c r="D46" s="103"/>
      <c r="E46" s="103">
        <f aca="true" t="shared" si="1" ref="E46:H47">E47</f>
        <v>305386.45</v>
      </c>
      <c r="F46" s="103">
        <f t="shared" si="1"/>
        <v>305386.45</v>
      </c>
      <c r="G46" s="223">
        <f t="shared" si="1"/>
        <v>292660.23</v>
      </c>
      <c r="H46" s="223">
        <f t="shared" si="1"/>
        <v>190509.22</v>
      </c>
    </row>
    <row r="47" spans="1:8" ht="48" customHeight="1">
      <c r="A47" s="154" t="s">
        <v>361</v>
      </c>
      <c r="B47" s="101" t="s">
        <v>363</v>
      </c>
      <c r="C47" s="102"/>
      <c r="D47" s="103"/>
      <c r="E47" s="103">
        <f t="shared" si="1"/>
        <v>305386.45</v>
      </c>
      <c r="F47" s="103">
        <f t="shared" si="1"/>
        <v>305386.45</v>
      </c>
      <c r="G47" s="223">
        <f t="shared" si="1"/>
        <v>292660.23</v>
      </c>
      <c r="H47" s="223">
        <f t="shared" si="1"/>
        <v>190509.22</v>
      </c>
    </row>
    <row r="48" spans="1:8" ht="78.75" customHeight="1">
      <c r="A48" s="59" t="s">
        <v>956</v>
      </c>
      <c r="B48" s="20" t="s">
        <v>364</v>
      </c>
      <c r="C48" s="58">
        <v>200</v>
      </c>
      <c r="D48" s="77"/>
      <c r="E48" s="114">
        <v>305386.45</v>
      </c>
      <c r="F48" s="114">
        <v>305386.45</v>
      </c>
      <c r="G48" s="222">
        <v>292660.23</v>
      </c>
      <c r="H48" s="224">
        <v>190509.22</v>
      </c>
    </row>
    <row r="49" spans="1:8" ht="31.5">
      <c r="A49" s="154" t="s">
        <v>907</v>
      </c>
      <c r="B49" s="101" t="s">
        <v>867</v>
      </c>
      <c r="C49" s="102"/>
      <c r="D49" s="77"/>
      <c r="E49" s="103">
        <f>E50</f>
        <v>7706950.17</v>
      </c>
      <c r="F49" s="103">
        <f>F50</f>
        <v>7706950.17</v>
      </c>
      <c r="G49" s="223">
        <f>G50</f>
        <v>7783777.76</v>
      </c>
      <c r="H49" s="223">
        <f>H50</f>
        <v>7564228.17</v>
      </c>
    </row>
    <row r="50" spans="1:8" ht="31.5">
      <c r="A50" s="154" t="s">
        <v>887</v>
      </c>
      <c r="B50" s="101" t="s">
        <v>868</v>
      </c>
      <c r="C50" s="102"/>
      <c r="D50" s="77"/>
      <c r="E50" s="103">
        <f>SUM(E51:E53)</f>
        <v>7706950.17</v>
      </c>
      <c r="F50" s="103">
        <f>SUM(F51:F53)</f>
        <v>7706950.17</v>
      </c>
      <c r="G50" s="223">
        <f>SUM(G51:G53)</f>
        <v>7783777.76</v>
      </c>
      <c r="H50" s="223">
        <f>SUM(H51:H53)</f>
        <v>7564228.17</v>
      </c>
    </row>
    <row r="51" spans="1:8" ht="78.75">
      <c r="A51" s="105" t="s">
        <v>931</v>
      </c>
      <c r="B51" s="21" t="s">
        <v>869</v>
      </c>
      <c r="C51" s="78">
        <v>100</v>
      </c>
      <c r="D51" s="79"/>
      <c r="E51" s="169">
        <f>2994885+904456</f>
        <v>3899341</v>
      </c>
      <c r="F51" s="169">
        <f>2994885+904456</f>
        <v>3899341</v>
      </c>
      <c r="G51" s="222">
        <v>3756619</v>
      </c>
      <c r="H51" s="225">
        <v>3756619</v>
      </c>
    </row>
    <row r="52" spans="1:8" ht="47.25">
      <c r="A52" s="105" t="s">
        <v>929</v>
      </c>
      <c r="B52" s="21" t="s">
        <v>869</v>
      </c>
      <c r="C52" s="58">
        <v>200</v>
      </c>
      <c r="D52" s="77"/>
      <c r="E52" s="169">
        <v>3675609.17</v>
      </c>
      <c r="F52" s="169">
        <v>3675609.17</v>
      </c>
      <c r="G52" s="222">
        <v>3895158.76</v>
      </c>
      <c r="H52" s="224">
        <v>3675609.17</v>
      </c>
    </row>
    <row r="53" spans="1:8" ht="31.5">
      <c r="A53" s="105" t="s">
        <v>930</v>
      </c>
      <c r="B53" s="21" t="s">
        <v>869</v>
      </c>
      <c r="C53" s="58">
        <v>800</v>
      </c>
      <c r="D53" s="77"/>
      <c r="E53" s="169">
        <v>132000</v>
      </c>
      <c r="F53" s="169">
        <v>132000</v>
      </c>
      <c r="G53" s="222">
        <v>132000</v>
      </c>
      <c r="H53" s="224">
        <v>132000</v>
      </c>
    </row>
    <row r="54" spans="1:8" ht="31.5">
      <c r="A54" s="264" t="s">
        <v>641</v>
      </c>
      <c r="B54" s="22" t="s">
        <v>367</v>
      </c>
      <c r="C54" s="152"/>
      <c r="D54" s="124">
        <f>D55</f>
        <v>-1714607.6</v>
      </c>
      <c r="E54" s="124">
        <f>E55+E63+E66</f>
        <v>16291809.08</v>
      </c>
      <c r="F54" s="124">
        <f>F55+F63+F66</f>
        <v>8078287.640000001</v>
      </c>
      <c r="G54" s="220">
        <f>G55+G63+G66</f>
        <v>8159637.800000001</v>
      </c>
      <c r="H54" s="220">
        <f>H55+H63+H66</f>
        <v>8159637.800000001</v>
      </c>
    </row>
    <row r="55" spans="1:8" ht="31.5">
      <c r="A55" s="153" t="s">
        <v>872</v>
      </c>
      <c r="B55" s="19" t="s">
        <v>368</v>
      </c>
      <c r="C55" s="57"/>
      <c r="D55" s="80">
        <f>SUM(D57:D61)</f>
        <v>-1714607.6</v>
      </c>
      <c r="E55" s="80">
        <f>E56</f>
        <v>16221809.08</v>
      </c>
      <c r="F55" s="80">
        <f>F56</f>
        <v>8008287.640000001</v>
      </c>
      <c r="G55" s="221">
        <f>G56</f>
        <v>8089637.800000001</v>
      </c>
      <c r="H55" s="221">
        <f>H56</f>
        <v>8089637.800000001</v>
      </c>
    </row>
    <row r="56" spans="1:8" ht="31.5">
      <c r="A56" s="153" t="s">
        <v>871</v>
      </c>
      <c r="B56" s="19" t="s">
        <v>369</v>
      </c>
      <c r="C56" s="57"/>
      <c r="D56" s="80"/>
      <c r="E56" s="80">
        <f>SUM(E57:E62)</f>
        <v>16221809.08</v>
      </c>
      <c r="F56" s="80">
        <f>SUM(F57:F62)</f>
        <v>8008287.640000001</v>
      </c>
      <c r="G56" s="221">
        <f>SUM(G57:G62)</f>
        <v>8089637.800000001</v>
      </c>
      <c r="H56" s="221">
        <f>SUM(H57:H62)</f>
        <v>8089637.800000001</v>
      </c>
    </row>
    <row r="57" spans="1:8" ht="47.25">
      <c r="A57" s="155" t="s">
        <v>873</v>
      </c>
      <c r="B57" s="20" t="s">
        <v>370</v>
      </c>
      <c r="C57" s="58">
        <v>200</v>
      </c>
      <c r="D57" s="77">
        <v>-1714607.6</v>
      </c>
      <c r="E57" s="114">
        <v>3105606.06</v>
      </c>
      <c r="F57" s="114">
        <v>3105606.06</v>
      </c>
      <c r="G57" s="222">
        <v>3105606.06</v>
      </c>
      <c r="H57" s="224">
        <v>3105606.06</v>
      </c>
    </row>
    <row r="58" spans="1:8" ht="47.25">
      <c r="A58" s="155" t="s">
        <v>874</v>
      </c>
      <c r="B58" s="20" t="s">
        <v>908</v>
      </c>
      <c r="C58" s="58">
        <v>200</v>
      </c>
      <c r="D58" s="77"/>
      <c r="E58" s="114">
        <v>4762681.58</v>
      </c>
      <c r="F58" s="114">
        <v>4762681.58</v>
      </c>
      <c r="G58" s="222">
        <v>4844031.74</v>
      </c>
      <c r="H58" s="224">
        <v>4844031.74</v>
      </c>
    </row>
    <row r="59" spans="1:8" ht="31.5">
      <c r="A59" s="155" t="s">
        <v>889</v>
      </c>
      <c r="B59" s="20" t="s">
        <v>909</v>
      </c>
      <c r="C59" s="58">
        <v>200</v>
      </c>
      <c r="D59" s="77"/>
      <c r="E59" s="114">
        <v>0</v>
      </c>
      <c r="F59" s="77">
        <v>0</v>
      </c>
      <c r="G59" s="222">
        <v>0</v>
      </c>
      <c r="H59" s="224">
        <v>0</v>
      </c>
    </row>
    <row r="60" spans="1:12" ht="75" customHeight="1">
      <c r="A60" s="190" t="s">
        <v>1608</v>
      </c>
      <c r="B60" s="20" t="s">
        <v>910</v>
      </c>
      <c r="C60" s="58">
        <v>200</v>
      </c>
      <c r="D60" s="77"/>
      <c r="E60" s="114">
        <v>140000</v>
      </c>
      <c r="F60" s="114">
        <v>140000</v>
      </c>
      <c r="G60" s="222">
        <v>140000</v>
      </c>
      <c r="H60" s="224">
        <v>140000</v>
      </c>
      <c r="L60" s="155" t="s">
        <v>948</v>
      </c>
    </row>
    <row r="61" spans="1:8" ht="192" customHeight="1">
      <c r="A61" s="155" t="s">
        <v>732</v>
      </c>
      <c r="B61" s="20" t="s">
        <v>730</v>
      </c>
      <c r="C61" s="58">
        <v>500</v>
      </c>
      <c r="D61" s="77"/>
      <c r="E61" s="77">
        <v>0</v>
      </c>
      <c r="F61" s="77">
        <v>0</v>
      </c>
      <c r="G61" s="224">
        <v>0</v>
      </c>
      <c r="H61" s="224">
        <v>0</v>
      </c>
    </row>
    <row r="62" spans="1:9" ht="79.5" customHeight="1">
      <c r="A62" s="179" t="s">
        <v>1365</v>
      </c>
      <c r="B62" s="112" t="s">
        <v>974</v>
      </c>
      <c r="C62" s="113">
        <v>200</v>
      </c>
      <c r="D62" s="114"/>
      <c r="E62" s="114">
        <f>8135015.18-8053665.02+8053665.02+78506.26</f>
        <v>8213521.4399999995</v>
      </c>
      <c r="F62" s="114">
        <v>0</v>
      </c>
      <c r="G62" s="224"/>
      <c r="H62" s="224"/>
      <c r="I62" s="155"/>
    </row>
    <row r="63" spans="1:8" ht="31.5">
      <c r="A63" s="153" t="s">
        <v>1309</v>
      </c>
      <c r="B63" s="101" t="s">
        <v>616</v>
      </c>
      <c r="C63" s="102"/>
      <c r="D63" s="103"/>
      <c r="E63" s="103">
        <f aca="true" t="shared" si="2" ref="E63:H64">E64</f>
        <v>50000</v>
      </c>
      <c r="F63" s="103">
        <f t="shared" si="2"/>
        <v>50000</v>
      </c>
      <c r="G63" s="223">
        <f t="shared" si="2"/>
        <v>50000</v>
      </c>
      <c r="H63" s="223">
        <f t="shared" si="2"/>
        <v>50000</v>
      </c>
    </row>
    <row r="64" spans="1:8" ht="21" customHeight="1">
      <c r="A64" s="153" t="s">
        <v>615</v>
      </c>
      <c r="B64" s="101" t="s">
        <v>617</v>
      </c>
      <c r="C64" s="102"/>
      <c r="D64" s="103"/>
      <c r="E64" s="103">
        <f t="shared" si="2"/>
        <v>50000</v>
      </c>
      <c r="F64" s="103">
        <f t="shared" si="2"/>
        <v>50000</v>
      </c>
      <c r="G64" s="223">
        <f t="shared" si="2"/>
        <v>50000</v>
      </c>
      <c r="H64" s="223">
        <f t="shared" si="2"/>
        <v>50000</v>
      </c>
    </row>
    <row r="65" spans="1:8" ht="31.5">
      <c r="A65" s="155" t="s">
        <v>875</v>
      </c>
      <c r="B65" s="20" t="s">
        <v>618</v>
      </c>
      <c r="C65" s="58">
        <v>200</v>
      </c>
      <c r="D65" s="77"/>
      <c r="E65" s="250">
        <v>50000</v>
      </c>
      <c r="F65" s="250">
        <v>50000</v>
      </c>
      <c r="G65" s="222">
        <v>50000</v>
      </c>
      <c r="H65" s="224">
        <v>50000</v>
      </c>
    </row>
    <row r="66" spans="1:8" ht="36.75" customHeight="1">
      <c r="A66" s="107" t="s">
        <v>1082</v>
      </c>
      <c r="B66" s="19" t="s">
        <v>1231</v>
      </c>
      <c r="C66" s="102"/>
      <c r="D66" s="77"/>
      <c r="E66" s="103">
        <f>E67</f>
        <v>20000</v>
      </c>
      <c r="F66" s="103">
        <f>F67</f>
        <v>20000</v>
      </c>
      <c r="G66" s="223">
        <f>G67</f>
        <v>20000</v>
      </c>
      <c r="H66" s="223">
        <f>H67</f>
        <v>20000</v>
      </c>
    </row>
    <row r="67" spans="1:8" ht="33" customHeight="1">
      <c r="A67" s="107" t="s">
        <v>1077</v>
      </c>
      <c r="B67" s="19" t="s">
        <v>1232</v>
      </c>
      <c r="C67" s="102"/>
      <c r="D67" s="77"/>
      <c r="E67" s="103">
        <f>E68+E69</f>
        <v>20000</v>
      </c>
      <c r="F67" s="103">
        <f>F68+F69</f>
        <v>20000</v>
      </c>
      <c r="G67" s="223">
        <f>G68+G69</f>
        <v>20000</v>
      </c>
      <c r="H67" s="223">
        <f>H68+H69</f>
        <v>20000</v>
      </c>
    </row>
    <row r="68" spans="1:8" ht="63">
      <c r="A68" s="122" t="s">
        <v>1078</v>
      </c>
      <c r="B68" s="21" t="s">
        <v>1233</v>
      </c>
      <c r="C68" s="78">
        <v>200</v>
      </c>
      <c r="D68" s="77"/>
      <c r="E68" s="79">
        <v>0</v>
      </c>
      <c r="F68" s="79">
        <v>0</v>
      </c>
      <c r="G68" s="225">
        <v>0</v>
      </c>
      <c r="H68" s="225">
        <v>0</v>
      </c>
    </row>
    <row r="69" spans="1:8" ht="78.75">
      <c r="A69" s="122" t="s">
        <v>1079</v>
      </c>
      <c r="B69" s="21" t="s">
        <v>1234</v>
      </c>
      <c r="C69" s="78">
        <v>200</v>
      </c>
      <c r="D69" s="77"/>
      <c r="E69" s="267">
        <v>20000</v>
      </c>
      <c r="F69" s="267">
        <v>20000</v>
      </c>
      <c r="G69" s="222">
        <v>20000</v>
      </c>
      <c r="H69" s="225">
        <v>20000</v>
      </c>
    </row>
    <row r="70" spans="1:8" ht="31.5">
      <c r="A70" s="120" t="s">
        <v>642</v>
      </c>
      <c r="B70" s="22" t="s">
        <v>371</v>
      </c>
      <c r="C70" s="152"/>
      <c r="D70" s="124">
        <f>D71</f>
        <v>0</v>
      </c>
      <c r="E70" s="124">
        <f>E71</f>
        <v>458000</v>
      </c>
      <c r="F70" s="124">
        <f>F71</f>
        <v>458000</v>
      </c>
      <c r="G70" s="220">
        <f>G71</f>
        <v>458000</v>
      </c>
      <c r="H70" s="220">
        <f>H71</f>
        <v>388000</v>
      </c>
    </row>
    <row r="71" spans="1:8" ht="31.5">
      <c r="A71" s="121" t="s">
        <v>372</v>
      </c>
      <c r="B71" s="19" t="s">
        <v>373</v>
      </c>
      <c r="C71" s="57"/>
      <c r="D71" s="80">
        <f>SUM(D73:D75)</f>
        <v>0</v>
      </c>
      <c r="E71" s="80">
        <f>E72+E76</f>
        <v>458000</v>
      </c>
      <c r="F71" s="80">
        <f>F72+F76</f>
        <v>458000</v>
      </c>
      <c r="G71" s="221">
        <f>G72+G76</f>
        <v>458000</v>
      </c>
      <c r="H71" s="221">
        <f>H72+H76</f>
        <v>388000</v>
      </c>
    </row>
    <row r="72" spans="1:8" ht="31.5">
      <c r="A72" s="121" t="s">
        <v>374</v>
      </c>
      <c r="B72" s="19" t="s">
        <v>375</v>
      </c>
      <c r="C72" s="57"/>
      <c r="D72" s="80"/>
      <c r="E72" s="80">
        <f>SUM(E73:E75)</f>
        <v>30000</v>
      </c>
      <c r="F72" s="80">
        <f>SUM(F73:F75)</f>
        <v>30000</v>
      </c>
      <c r="G72" s="221">
        <f>SUM(G73:G75)</f>
        <v>30000</v>
      </c>
      <c r="H72" s="221">
        <f>SUM(H73:H75)</f>
        <v>30000</v>
      </c>
    </row>
    <row r="73" spans="1:8" ht="34.5" customHeight="1">
      <c r="A73" s="59" t="s">
        <v>601</v>
      </c>
      <c r="B73" s="20" t="s">
        <v>376</v>
      </c>
      <c r="C73" s="58">
        <v>200</v>
      </c>
      <c r="D73" s="77"/>
      <c r="E73" s="169">
        <v>10000</v>
      </c>
      <c r="F73" s="169">
        <v>10000</v>
      </c>
      <c r="G73" s="222">
        <v>10000</v>
      </c>
      <c r="H73" s="224">
        <v>10000</v>
      </c>
    </row>
    <row r="74" spans="1:8" ht="47.25">
      <c r="A74" s="59" t="s">
        <v>1272</v>
      </c>
      <c r="B74" s="20" t="s">
        <v>377</v>
      </c>
      <c r="C74" s="58">
        <v>200</v>
      </c>
      <c r="D74" s="77"/>
      <c r="E74" s="169">
        <v>20000</v>
      </c>
      <c r="F74" s="169">
        <v>20000</v>
      </c>
      <c r="G74" s="222">
        <v>20000</v>
      </c>
      <c r="H74" s="224">
        <v>20000</v>
      </c>
    </row>
    <row r="75" spans="1:8" ht="47.25">
      <c r="A75" s="59" t="s">
        <v>589</v>
      </c>
      <c r="B75" s="20" t="s">
        <v>378</v>
      </c>
      <c r="C75" s="58">
        <v>200</v>
      </c>
      <c r="D75" s="77"/>
      <c r="E75" s="114">
        <v>0</v>
      </c>
      <c r="F75" s="114">
        <v>0</v>
      </c>
      <c r="G75" s="224">
        <v>0</v>
      </c>
      <c r="H75" s="224">
        <v>0</v>
      </c>
    </row>
    <row r="76" spans="1:8" ht="31.5">
      <c r="A76" s="121" t="s">
        <v>892</v>
      </c>
      <c r="B76" s="101" t="s">
        <v>890</v>
      </c>
      <c r="C76" s="102"/>
      <c r="D76" s="103"/>
      <c r="E76" s="103">
        <f>SUM(E77:E78)</f>
        <v>428000</v>
      </c>
      <c r="F76" s="103">
        <f>SUM(F77:F78)</f>
        <v>428000</v>
      </c>
      <c r="G76" s="223">
        <f>SUM(G77:G78)</f>
        <v>428000</v>
      </c>
      <c r="H76" s="223">
        <f>SUM(H77:H78)</f>
        <v>358000</v>
      </c>
    </row>
    <row r="77" spans="1:8" ht="47.25">
      <c r="A77" s="59" t="s">
        <v>613</v>
      </c>
      <c r="B77" s="20" t="s">
        <v>891</v>
      </c>
      <c r="C77" s="58">
        <v>800</v>
      </c>
      <c r="D77" s="77"/>
      <c r="E77" s="114">
        <v>258000</v>
      </c>
      <c r="F77" s="114">
        <v>258000</v>
      </c>
      <c r="G77" s="222">
        <v>258000</v>
      </c>
      <c r="H77" s="224">
        <v>258000</v>
      </c>
    </row>
    <row r="78" spans="1:8" ht="114" customHeight="1">
      <c r="A78" s="59" t="s">
        <v>1273</v>
      </c>
      <c r="B78" s="20" t="s">
        <v>911</v>
      </c>
      <c r="C78" s="58">
        <v>800</v>
      </c>
      <c r="D78" s="77"/>
      <c r="E78" s="114">
        <v>170000</v>
      </c>
      <c r="F78" s="114">
        <v>170000</v>
      </c>
      <c r="G78" s="222">
        <v>170000</v>
      </c>
      <c r="H78" s="224">
        <v>100000</v>
      </c>
    </row>
    <row r="79" spans="1:8" ht="31.5">
      <c r="A79" s="121" t="s">
        <v>1264</v>
      </c>
      <c r="B79" s="101" t="s">
        <v>1262</v>
      </c>
      <c r="C79" s="102"/>
      <c r="D79" s="80" t="e">
        <f>SUM(D82:D84)</f>
        <v>#REF!</v>
      </c>
      <c r="E79" s="80">
        <f>E80</f>
        <v>0</v>
      </c>
      <c r="F79" s="80">
        <f>F80</f>
        <v>0</v>
      </c>
      <c r="G79" s="221">
        <f>G80</f>
        <v>0</v>
      </c>
      <c r="H79" s="221">
        <f>H80</f>
        <v>0</v>
      </c>
    </row>
    <row r="80" spans="1:8" ht="31.5">
      <c r="A80" s="154" t="s">
        <v>1177</v>
      </c>
      <c r="B80" s="101" t="s">
        <v>1263</v>
      </c>
      <c r="C80" s="102"/>
      <c r="D80" s="80"/>
      <c r="E80" s="80">
        <f>E82+E81</f>
        <v>0</v>
      </c>
      <c r="F80" s="80">
        <f>F82+F81</f>
        <v>0</v>
      </c>
      <c r="G80" s="221">
        <f>G82+G81</f>
        <v>0</v>
      </c>
      <c r="H80" s="221">
        <f>H82+H81</f>
        <v>0</v>
      </c>
    </row>
    <row r="81" spans="1:8" ht="63">
      <c r="A81" s="59" t="s">
        <v>1178</v>
      </c>
      <c r="B81" s="20" t="s">
        <v>1270</v>
      </c>
      <c r="C81" s="58">
        <v>200</v>
      </c>
      <c r="D81" s="77"/>
      <c r="E81" s="77">
        <v>0</v>
      </c>
      <c r="F81" s="77">
        <v>0</v>
      </c>
      <c r="G81" s="224"/>
      <c r="H81" s="224">
        <v>0</v>
      </c>
    </row>
    <row r="82" spans="1:8" ht="78.75">
      <c r="A82" s="59" t="s">
        <v>1179</v>
      </c>
      <c r="B82" s="20" t="s">
        <v>1271</v>
      </c>
      <c r="C82" s="58">
        <v>200</v>
      </c>
      <c r="D82" s="77"/>
      <c r="E82" s="77">
        <v>0</v>
      </c>
      <c r="F82" s="77">
        <v>0</v>
      </c>
      <c r="G82" s="224"/>
      <c r="H82" s="224">
        <v>0</v>
      </c>
    </row>
    <row r="83" spans="1:8" ht="31.5">
      <c r="A83" s="149" t="s">
        <v>853</v>
      </c>
      <c r="B83" s="22" t="s">
        <v>379</v>
      </c>
      <c r="C83" s="152"/>
      <c r="D83" s="124" t="e">
        <f>D84</f>
        <v>#REF!</v>
      </c>
      <c r="E83" s="124">
        <f>E84</f>
        <v>21500</v>
      </c>
      <c r="F83" s="124">
        <f>F84</f>
        <v>56000</v>
      </c>
      <c r="G83" s="220">
        <f>G84</f>
        <v>2000</v>
      </c>
      <c r="H83" s="220">
        <f>H84</f>
        <v>23500</v>
      </c>
    </row>
    <row r="84" spans="1:8" ht="31.5">
      <c r="A84" s="107" t="s">
        <v>857</v>
      </c>
      <c r="B84" s="19" t="s">
        <v>380</v>
      </c>
      <c r="C84" s="57"/>
      <c r="D84" s="80" t="e">
        <f>SUM(#REF!)</f>
        <v>#REF!</v>
      </c>
      <c r="E84" s="80">
        <f>E85+E93+E99+E104</f>
        <v>21500</v>
      </c>
      <c r="F84" s="80">
        <f>F85+F93+F99+F104</f>
        <v>56000</v>
      </c>
      <c r="G84" s="221">
        <f>G85+G93+G99</f>
        <v>2000</v>
      </c>
      <c r="H84" s="221">
        <f>H85+H93+H99</f>
        <v>23500</v>
      </c>
    </row>
    <row r="85" spans="1:8" ht="31.5">
      <c r="A85" s="107" t="s">
        <v>899</v>
      </c>
      <c r="B85" s="19" t="s">
        <v>381</v>
      </c>
      <c r="C85" s="57"/>
      <c r="D85" s="80"/>
      <c r="E85" s="80">
        <f>SUM(E86:E92)</f>
        <v>4000</v>
      </c>
      <c r="F85" s="80">
        <f>SUM(F86:F92)</f>
        <v>21000</v>
      </c>
      <c r="G85" s="221">
        <f>SUM(G86:G92)</f>
        <v>0</v>
      </c>
      <c r="H85" s="221">
        <f>SUM(H86:H92)</f>
        <v>4000</v>
      </c>
    </row>
    <row r="86" spans="1:8" ht="48" customHeight="1" hidden="1">
      <c r="A86" s="63" t="s">
        <v>856</v>
      </c>
      <c r="B86" s="20" t="s">
        <v>1235</v>
      </c>
      <c r="C86" s="58">
        <v>200</v>
      </c>
      <c r="D86" s="79"/>
      <c r="E86" s="79"/>
      <c r="F86" s="79"/>
      <c r="G86" s="225"/>
      <c r="H86" s="225"/>
    </row>
    <row r="87" spans="1:8" ht="63" hidden="1">
      <c r="A87" s="63" t="s">
        <v>858</v>
      </c>
      <c r="B87" s="20" t="s">
        <v>1236</v>
      </c>
      <c r="C87" s="58">
        <v>200</v>
      </c>
      <c r="D87" s="79"/>
      <c r="E87" s="79"/>
      <c r="F87" s="79"/>
      <c r="G87" s="225"/>
      <c r="H87" s="225"/>
    </row>
    <row r="88" spans="1:8" ht="46.5" customHeight="1" hidden="1">
      <c r="A88" s="63" t="s">
        <v>859</v>
      </c>
      <c r="B88" s="20" t="s">
        <v>1237</v>
      </c>
      <c r="C88" s="58">
        <v>200</v>
      </c>
      <c r="D88" s="79"/>
      <c r="E88" s="79"/>
      <c r="F88" s="79"/>
      <c r="G88" s="225"/>
      <c r="H88" s="225"/>
    </row>
    <row r="89" spans="1:8" ht="63">
      <c r="A89" s="63" t="s">
        <v>860</v>
      </c>
      <c r="B89" s="20" t="s">
        <v>1238</v>
      </c>
      <c r="C89" s="58">
        <v>200</v>
      </c>
      <c r="D89" s="79"/>
      <c r="E89" s="171">
        <v>0</v>
      </c>
      <c r="F89" s="171">
        <v>15000</v>
      </c>
      <c r="G89" s="225"/>
      <c r="H89" s="225"/>
    </row>
    <row r="90" spans="1:8" ht="53.25" customHeight="1">
      <c r="A90" s="156" t="s">
        <v>1503</v>
      </c>
      <c r="B90" s="20" t="s">
        <v>1516</v>
      </c>
      <c r="C90" s="58">
        <v>200</v>
      </c>
      <c r="D90" s="79"/>
      <c r="E90" s="171">
        <v>0</v>
      </c>
      <c r="F90" s="171">
        <v>6000</v>
      </c>
      <c r="G90" s="225"/>
      <c r="H90" s="225"/>
    </row>
    <row r="91" spans="1:8" ht="46.5" customHeight="1">
      <c r="A91" s="157" t="s">
        <v>1253</v>
      </c>
      <c r="B91" s="112" t="s">
        <v>1254</v>
      </c>
      <c r="C91" s="113">
        <v>200</v>
      </c>
      <c r="D91" s="114"/>
      <c r="E91" s="169">
        <v>4000</v>
      </c>
      <c r="F91" s="169">
        <v>0</v>
      </c>
      <c r="G91" s="222">
        <v>0</v>
      </c>
      <c r="H91" s="222">
        <v>4000</v>
      </c>
    </row>
    <row r="92" spans="1:8" ht="63" hidden="1">
      <c r="A92" s="63" t="s">
        <v>861</v>
      </c>
      <c r="B92" s="20" t="s">
        <v>1239</v>
      </c>
      <c r="C92" s="58">
        <v>200</v>
      </c>
      <c r="D92" s="79"/>
      <c r="E92" s="79"/>
      <c r="F92" s="79"/>
      <c r="G92" s="225"/>
      <c r="H92" s="225"/>
    </row>
    <row r="93" spans="1:8" ht="31.5">
      <c r="A93" s="107" t="s">
        <v>900</v>
      </c>
      <c r="B93" s="19" t="s">
        <v>1240</v>
      </c>
      <c r="C93" s="102"/>
      <c r="D93" s="79"/>
      <c r="E93" s="103">
        <f>SUM(E94:E98)</f>
        <v>17500</v>
      </c>
      <c r="F93" s="103">
        <f>SUM(F94:F98)</f>
        <v>35000</v>
      </c>
      <c r="G93" s="223">
        <f>G94+G95+G98</f>
        <v>0</v>
      </c>
      <c r="H93" s="223">
        <f>H94+H95+H98</f>
        <v>17500</v>
      </c>
    </row>
    <row r="94" spans="1:8" ht="47.25" customHeight="1" hidden="1">
      <c r="A94" s="63" t="s">
        <v>903</v>
      </c>
      <c r="B94" s="20" t="s">
        <v>1241</v>
      </c>
      <c r="C94" s="58">
        <v>200</v>
      </c>
      <c r="D94" s="79"/>
      <c r="E94" s="79"/>
      <c r="F94" s="79"/>
      <c r="G94" s="225">
        <v>0</v>
      </c>
      <c r="H94" s="225">
        <v>0</v>
      </c>
    </row>
    <row r="95" spans="1:8" ht="63">
      <c r="A95" s="63" t="s">
        <v>1007</v>
      </c>
      <c r="B95" s="20" t="s">
        <v>1242</v>
      </c>
      <c r="C95" s="58">
        <v>200</v>
      </c>
      <c r="D95" s="79"/>
      <c r="E95" s="171">
        <v>9000</v>
      </c>
      <c r="F95" s="171">
        <v>3000</v>
      </c>
      <c r="G95" s="225">
        <v>0</v>
      </c>
      <c r="H95" s="225">
        <v>9000</v>
      </c>
    </row>
    <row r="96" spans="1:8" ht="47.25">
      <c r="A96" s="157" t="s">
        <v>1256</v>
      </c>
      <c r="B96" s="20" t="s">
        <v>1257</v>
      </c>
      <c r="C96" s="58">
        <v>200</v>
      </c>
      <c r="D96" s="79"/>
      <c r="E96" s="171">
        <v>0</v>
      </c>
      <c r="F96" s="171">
        <v>30000</v>
      </c>
      <c r="G96" s="225"/>
      <c r="H96" s="225"/>
    </row>
    <row r="97" spans="1:8" ht="45.75" customHeight="1">
      <c r="A97" s="157" t="s">
        <v>1279</v>
      </c>
      <c r="B97" s="112" t="s">
        <v>1280</v>
      </c>
      <c r="C97" s="113">
        <v>200</v>
      </c>
      <c r="D97" s="79"/>
      <c r="E97" s="171">
        <v>0</v>
      </c>
      <c r="F97" s="171">
        <v>2000</v>
      </c>
      <c r="G97" s="225">
        <v>0</v>
      </c>
      <c r="H97" s="225">
        <v>0</v>
      </c>
    </row>
    <row r="98" spans="1:8" ht="63">
      <c r="A98" s="157" t="s">
        <v>905</v>
      </c>
      <c r="B98" s="112" t="s">
        <v>1243</v>
      </c>
      <c r="C98" s="113">
        <v>200</v>
      </c>
      <c r="D98" s="114"/>
      <c r="E98" s="169">
        <v>8500</v>
      </c>
      <c r="F98" s="114">
        <v>0</v>
      </c>
      <c r="G98" s="222">
        <v>0</v>
      </c>
      <c r="H98" s="222">
        <v>8500</v>
      </c>
    </row>
    <row r="99" spans="1:8" ht="33.75" customHeight="1">
      <c r="A99" s="107" t="s">
        <v>901</v>
      </c>
      <c r="B99" s="19" t="s">
        <v>1244</v>
      </c>
      <c r="C99" s="102"/>
      <c r="D99" s="79"/>
      <c r="E99" s="103">
        <f>E100+E101+E102+E103</f>
        <v>0</v>
      </c>
      <c r="F99" s="103">
        <f>F100+F101+F102+F103</f>
        <v>0</v>
      </c>
      <c r="G99" s="223">
        <f>G100+G101+G102+G103</f>
        <v>2000</v>
      </c>
      <c r="H99" s="223">
        <f>H100+H101+H102+H103</f>
        <v>2000</v>
      </c>
    </row>
    <row r="100" spans="1:8" ht="65.25" customHeight="1" hidden="1">
      <c r="A100" s="63" t="s">
        <v>862</v>
      </c>
      <c r="B100" s="20" t="s">
        <v>1245</v>
      </c>
      <c r="C100" s="58">
        <v>200</v>
      </c>
      <c r="D100" s="79"/>
      <c r="E100" s="79">
        <v>0</v>
      </c>
      <c r="F100" s="79">
        <v>0</v>
      </c>
      <c r="G100" s="225">
        <v>0</v>
      </c>
      <c r="H100" s="225">
        <v>0</v>
      </c>
    </row>
    <row r="101" spans="1:8" ht="63">
      <c r="A101" s="157" t="s">
        <v>1213</v>
      </c>
      <c r="B101" s="112" t="s">
        <v>1246</v>
      </c>
      <c r="C101" s="113">
        <v>200</v>
      </c>
      <c r="D101" s="79"/>
      <c r="E101" s="77">
        <v>0</v>
      </c>
      <c r="F101" s="77">
        <v>0</v>
      </c>
      <c r="G101" s="224">
        <v>0</v>
      </c>
      <c r="H101" s="224">
        <v>0</v>
      </c>
    </row>
    <row r="102" spans="1:8" ht="60" customHeight="1" hidden="1">
      <c r="A102" s="157" t="s">
        <v>1216</v>
      </c>
      <c r="B102" s="112" t="s">
        <v>1247</v>
      </c>
      <c r="C102" s="113">
        <v>200</v>
      </c>
      <c r="D102" s="79"/>
      <c r="E102" s="77">
        <v>0</v>
      </c>
      <c r="F102" s="77">
        <v>0</v>
      </c>
      <c r="G102" s="224">
        <v>0</v>
      </c>
      <c r="H102" s="224">
        <v>0</v>
      </c>
    </row>
    <row r="103" spans="1:8" ht="63.75" customHeight="1" hidden="1">
      <c r="A103" s="157" t="s">
        <v>863</v>
      </c>
      <c r="B103" s="112" t="s">
        <v>1248</v>
      </c>
      <c r="C103" s="113">
        <v>200</v>
      </c>
      <c r="D103" s="79"/>
      <c r="E103" s="114">
        <v>0</v>
      </c>
      <c r="F103" s="77">
        <v>0</v>
      </c>
      <c r="G103" s="222">
        <v>2000</v>
      </c>
      <c r="H103" s="224">
        <v>2000</v>
      </c>
    </row>
    <row r="104" spans="1:8" ht="32.25" customHeight="1">
      <c r="A104" s="107" t="s">
        <v>1367</v>
      </c>
      <c r="B104" s="19" t="s">
        <v>1368</v>
      </c>
      <c r="C104" s="102"/>
      <c r="D104" s="103"/>
      <c r="E104" s="103">
        <f>E105</f>
        <v>0</v>
      </c>
      <c r="F104" s="103">
        <f>F105</f>
        <v>0</v>
      </c>
      <c r="G104" s="222"/>
      <c r="H104" s="224"/>
    </row>
    <row r="105" spans="1:8" ht="63.75" customHeight="1">
      <c r="A105" s="157" t="s">
        <v>1371</v>
      </c>
      <c r="B105" s="112" t="s">
        <v>1369</v>
      </c>
      <c r="C105" s="113">
        <v>200</v>
      </c>
      <c r="D105" s="114"/>
      <c r="E105" s="114">
        <v>0</v>
      </c>
      <c r="F105" s="114">
        <v>0</v>
      </c>
      <c r="G105" s="222"/>
      <c r="H105" s="224"/>
    </row>
    <row r="106" spans="1:8" ht="47.25" customHeight="1">
      <c r="A106" s="160" t="s">
        <v>1472</v>
      </c>
      <c r="B106" s="22" t="s">
        <v>382</v>
      </c>
      <c r="C106" s="102"/>
      <c r="D106" s="103"/>
      <c r="E106" s="124">
        <f>E107</f>
        <v>0</v>
      </c>
      <c r="F106" s="124">
        <f>F107</f>
        <v>0</v>
      </c>
      <c r="G106" s="223">
        <f>G107</f>
        <v>0</v>
      </c>
      <c r="H106" s="223">
        <f>H107</f>
        <v>0</v>
      </c>
    </row>
    <row r="107" spans="1:8" ht="31.5">
      <c r="A107" s="107" t="s">
        <v>1473</v>
      </c>
      <c r="B107" s="19" t="s">
        <v>383</v>
      </c>
      <c r="C107" s="102"/>
      <c r="D107" s="103"/>
      <c r="E107" s="103">
        <f>E108+E110+E112+E114+E116</f>
        <v>0</v>
      </c>
      <c r="F107" s="103">
        <f>F108+F110+F112+F114+F116</f>
        <v>0</v>
      </c>
      <c r="G107" s="223">
        <f>G108</f>
        <v>0</v>
      </c>
      <c r="H107" s="223">
        <f>H108</f>
        <v>0</v>
      </c>
    </row>
    <row r="108" spans="1:8" ht="31.5">
      <c r="A108" s="107" t="s">
        <v>1387</v>
      </c>
      <c r="B108" s="19" t="s">
        <v>384</v>
      </c>
      <c r="C108" s="102"/>
      <c r="D108" s="103"/>
      <c r="E108" s="103">
        <f>E109</f>
        <v>0</v>
      </c>
      <c r="F108" s="103">
        <f>F109</f>
        <v>0</v>
      </c>
      <c r="G108" s="223">
        <f>SUM(G112:G112)</f>
        <v>0</v>
      </c>
      <c r="H108" s="223">
        <f>SUM(H112:H112)</f>
        <v>0</v>
      </c>
    </row>
    <row r="109" spans="1:8" ht="63">
      <c r="A109" s="156" t="s">
        <v>1354</v>
      </c>
      <c r="B109" s="112" t="s">
        <v>1360</v>
      </c>
      <c r="C109" s="113">
        <v>400</v>
      </c>
      <c r="D109" s="114"/>
      <c r="E109" s="114">
        <v>0</v>
      </c>
      <c r="F109" s="114">
        <v>0</v>
      </c>
      <c r="G109" s="223"/>
      <c r="H109" s="223"/>
    </row>
    <row r="110" spans="1:8" ht="31.5">
      <c r="A110" s="107" t="s">
        <v>1389</v>
      </c>
      <c r="B110" s="19" t="s">
        <v>1388</v>
      </c>
      <c r="C110" s="102"/>
      <c r="D110" s="103"/>
      <c r="E110" s="103">
        <f>E111</f>
        <v>0</v>
      </c>
      <c r="F110" s="103">
        <f>F111</f>
        <v>0</v>
      </c>
      <c r="G110" s="223"/>
      <c r="H110" s="223"/>
    </row>
    <row r="111" spans="1:8" ht="47.25">
      <c r="A111" s="157" t="s">
        <v>1390</v>
      </c>
      <c r="B111" s="112" t="s">
        <v>1391</v>
      </c>
      <c r="C111" s="113">
        <v>400</v>
      </c>
      <c r="D111" s="114"/>
      <c r="E111" s="114">
        <v>0</v>
      </c>
      <c r="F111" s="114">
        <v>0</v>
      </c>
      <c r="G111" s="223"/>
      <c r="H111" s="223"/>
    </row>
    <row r="112" spans="1:8" ht="47.25">
      <c r="A112" s="107" t="s">
        <v>1392</v>
      </c>
      <c r="B112" s="19" t="s">
        <v>1393</v>
      </c>
      <c r="C112" s="102"/>
      <c r="D112" s="103"/>
      <c r="E112" s="103">
        <f>E113</f>
        <v>0</v>
      </c>
      <c r="F112" s="103">
        <f>F113</f>
        <v>0</v>
      </c>
      <c r="G112" s="225"/>
      <c r="H112" s="225"/>
    </row>
    <row r="113" spans="1:8" ht="63">
      <c r="A113" s="122" t="s">
        <v>981</v>
      </c>
      <c r="B113" s="21" t="s">
        <v>1394</v>
      </c>
      <c r="C113" s="78">
        <v>400</v>
      </c>
      <c r="D113" s="79"/>
      <c r="E113" s="79">
        <v>0</v>
      </c>
      <c r="F113" s="79">
        <v>0</v>
      </c>
      <c r="G113" s="225"/>
      <c r="H113" s="225"/>
    </row>
    <row r="114" spans="1:8" ht="94.5">
      <c r="A114" s="107" t="s">
        <v>1395</v>
      </c>
      <c r="B114" s="19" t="s">
        <v>1396</v>
      </c>
      <c r="C114" s="102"/>
      <c r="D114" s="103"/>
      <c r="E114" s="103">
        <f>E115</f>
        <v>0</v>
      </c>
      <c r="F114" s="103">
        <f>F115</f>
        <v>0</v>
      </c>
      <c r="G114" s="225"/>
      <c r="H114" s="225"/>
    </row>
    <row r="115" spans="1:8" ht="33.75" customHeight="1">
      <c r="A115" s="157" t="s">
        <v>1316</v>
      </c>
      <c r="B115" s="112" t="s">
        <v>1397</v>
      </c>
      <c r="C115" s="113">
        <v>400</v>
      </c>
      <c r="D115" s="114"/>
      <c r="E115" s="114">
        <v>0</v>
      </c>
      <c r="F115" s="114">
        <v>0</v>
      </c>
      <c r="G115" s="225"/>
      <c r="H115" s="225"/>
    </row>
    <row r="116" spans="1:8" ht="31.5">
      <c r="A116" s="107" t="s">
        <v>1401</v>
      </c>
      <c r="B116" s="19" t="s">
        <v>1398</v>
      </c>
      <c r="C116" s="102"/>
      <c r="D116" s="103"/>
      <c r="E116" s="103">
        <f>E117</f>
        <v>0</v>
      </c>
      <c r="F116" s="103">
        <f>F117</f>
        <v>0</v>
      </c>
      <c r="G116" s="225"/>
      <c r="H116" s="225"/>
    </row>
    <row r="117" spans="1:8" ht="47.25">
      <c r="A117" s="157" t="s">
        <v>1400</v>
      </c>
      <c r="B117" s="112" t="s">
        <v>1399</v>
      </c>
      <c r="C117" s="113">
        <v>400</v>
      </c>
      <c r="D117" s="114"/>
      <c r="E117" s="114">
        <v>0</v>
      </c>
      <c r="F117" s="114">
        <v>0</v>
      </c>
      <c r="G117" s="225"/>
      <c r="H117" s="225"/>
    </row>
    <row r="118" spans="1:8" ht="31.5">
      <c r="A118" s="120" t="s">
        <v>1251</v>
      </c>
      <c r="B118" s="22" t="s">
        <v>385</v>
      </c>
      <c r="C118" s="152"/>
      <c r="D118" s="124">
        <f>D119+D128</f>
        <v>442600</v>
      </c>
      <c r="E118" s="124">
        <f>E119+E128+E136</f>
        <v>10266280</v>
      </c>
      <c r="F118" s="124">
        <f>F119+F128+F136</f>
        <v>10266280</v>
      </c>
      <c r="G118" s="220">
        <f>G119+G128+G136</f>
        <v>11002768</v>
      </c>
      <c r="H118" s="220">
        <f>H119+H128+H136</f>
        <v>10266280</v>
      </c>
    </row>
    <row r="119" spans="1:8" ht="31.5">
      <c r="A119" s="121" t="s">
        <v>1274</v>
      </c>
      <c r="B119" s="19" t="s">
        <v>386</v>
      </c>
      <c r="C119" s="57"/>
      <c r="D119" s="80">
        <f>SUM(D121:D122)</f>
        <v>181000</v>
      </c>
      <c r="E119" s="80">
        <f>E120+E126</f>
        <v>3787224.9</v>
      </c>
      <c r="F119" s="80">
        <f>F120+F126</f>
        <v>3787224.9</v>
      </c>
      <c r="G119" s="221">
        <f>G120+G126</f>
        <v>4069050</v>
      </c>
      <c r="H119" s="221">
        <f>H120+H126</f>
        <v>3787224.9</v>
      </c>
    </row>
    <row r="120" spans="1:8" ht="31.5">
      <c r="A120" s="121" t="s">
        <v>387</v>
      </c>
      <c r="B120" s="19" t="s">
        <v>388</v>
      </c>
      <c r="C120" s="57"/>
      <c r="D120" s="80"/>
      <c r="E120" s="80">
        <f>SUM(E121:E125)</f>
        <v>3655224.9</v>
      </c>
      <c r="F120" s="80">
        <f>SUM(F121:F125)</f>
        <v>3655224.9</v>
      </c>
      <c r="G120" s="221">
        <f>SUM(G121:G125)</f>
        <v>3937050</v>
      </c>
      <c r="H120" s="221">
        <f>SUM(H121:H125)</f>
        <v>3655224.9</v>
      </c>
    </row>
    <row r="121" spans="1:8" ht="63">
      <c r="A121" s="59" t="s">
        <v>389</v>
      </c>
      <c r="B121" s="20" t="s">
        <v>390</v>
      </c>
      <c r="C121" s="58">
        <v>600</v>
      </c>
      <c r="D121" s="77">
        <v>-80600</v>
      </c>
      <c r="E121" s="183">
        <f>3716924.9-61700</f>
        <v>3655224.9</v>
      </c>
      <c r="F121" s="183">
        <f>3716924.9-61700</f>
        <v>3655224.9</v>
      </c>
      <c r="G121" s="224">
        <f>3998750-61700</f>
        <v>3937050</v>
      </c>
      <c r="H121" s="224">
        <f>3716924.9-61700</f>
        <v>3655224.9</v>
      </c>
    </row>
    <row r="122" spans="1:8" ht="84" customHeight="1">
      <c r="A122" s="156" t="s">
        <v>503</v>
      </c>
      <c r="B122" s="112" t="s">
        <v>391</v>
      </c>
      <c r="C122" s="113">
        <v>600</v>
      </c>
      <c r="D122" s="114">
        <v>261600</v>
      </c>
      <c r="E122" s="114">
        <v>0</v>
      </c>
      <c r="F122" s="114">
        <v>0</v>
      </c>
      <c r="G122" s="224"/>
      <c r="H122" s="224"/>
    </row>
    <row r="123" spans="1:8" ht="63">
      <c r="A123" s="156" t="s">
        <v>1104</v>
      </c>
      <c r="B123" s="20" t="s">
        <v>1106</v>
      </c>
      <c r="C123" s="58">
        <v>600</v>
      </c>
      <c r="D123" s="77"/>
      <c r="E123" s="77">
        <v>0</v>
      </c>
      <c r="F123" s="77">
        <v>0</v>
      </c>
      <c r="G123" s="224"/>
      <c r="H123" s="224"/>
    </row>
    <row r="124" spans="1:8" ht="63">
      <c r="A124" s="156" t="s">
        <v>1098</v>
      </c>
      <c r="B124" s="20" t="s">
        <v>1107</v>
      </c>
      <c r="C124" s="58">
        <v>600</v>
      </c>
      <c r="D124" s="77"/>
      <c r="E124" s="77">
        <v>0</v>
      </c>
      <c r="F124" s="77">
        <v>0</v>
      </c>
      <c r="G124" s="224"/>
      <c r="H124" s="224"/>
    </row>
    <row r="125" spans="1:8" ht="78.75">
      <c r="A125" s="59" t="s">
        <v>556</v>
      </c>
      <c r="B125" s="20" t="s">
        <v>557</v>
      </c>
      <c r="C125" s="58">
        <v>600</v>
      </c>
      <c r="D125" s="77"/>
      <c r="E125" s="77">
        <v>0</v>
      </c>
      <c r="F125" s="77">
        <v>0</v>
      </c>
      <c r="G125" s="224"/>
      <c r="H125" s="224"/>
    </row>
    <row r="126" spans="1:8" ht="33.75" customHeight="1">
      <c r="A126" s="121" t="s">
        <v>1227</v>
      </c>
      <c r="B126" s="19" t="s">
        <v>1218</v>
      </c>
      <c r="C126" s="57"/>
      <c r="D126" s="80"/>
      <c r="E126" s="80">
        <f>E127</f>
        <v>132000</v>
      </c>
      <c r="F126" s="80">
        <f>F127</f>
        <v>132000</v>
      </c>
      <c r="G126" s="221">
        <f>G127</f>
        <v>132000</v>
      </c>
      <c r="H126" s="221">
        <f>H127</f>
        <v>132000</v>
      </c>
    </row>
    <row r="127" spans="1:8" ht="50.25" customHeight="1">
      <c r="A127" s="156" t="s">
        <v>1312</v>
      </c>
      <c r="B127" s="112" t="s">
        <v>1350</v>
      </c>
      <c r="C127" s="113">
        <v>600</v>
      </c>
      <c r="D127" s="114"/>
      <c r="E127" s="169">
        <f>70300+61700</f>
        <v>132000</v>
      </c>
      <c r="F127" s="169">
        <f>70300+61700</f>
        <v>132000</v>
      </c>
      <c r="G127" s="224">
        <v>132000</v>
      </c>
      <c r="H127" s="224">
        <v>132000</v>
      </c>
    </row>
    <row r="128" spans="1:8" ht="31.5">
      <c r="A128" s="121" t="s">
        <v>392</v>
      </c>
      <c r="B128" s="19" t="s">
        <v>393</v>
      </c>
      <c r="C128" s="57"/>
      <c r="D128" s="80">
        <f>SUM(D130:D131)</f>
        <v>261600</v>
      </c>
      <c r="E128" s="80">
        <f>E129</f>
        <v>6353055.1</v>
      </c>
      <c r="F128" s="80">
        <f>F129</f>
        <v>6353055.1</v>
      </c>
      <c r="G128" s="221">
        <f>G129</f>
        <v>6807718</v>
      </c>
      <c r="H128" s="221">
        <f>H129</f>
        <v>6353055.1</v>
      </c>
    </row>
    <row r="129" spans="1:8" ht="15.75">
      <c r="A129" s="121" t="s">
        <v>395</v>
      </c>
      <c r="B129" s="19" t="s">
        <v>394</v>
      </c>
      <c r="C129" s="57"/>
      <c r="D129" s="80"/>
      <c r="E129" s="80">
        <f>SUM(E130:E135)</f>
        <v>6353055.1</v>
      </c>
      <c r="F129" s="80">
        <f>SUM(F130:F135)</f>
        <v>6353055.1</v>
      </c>
      <c r="G129" s="221">
        <f>SUM(G130:G135)</f>
        <v>6807718</v>
      </c>
      <c r="H129" s="221">
        <f>SUM(H130:H135)</f>
        <v>6353055.1</v>
      </c>
    </row>
    <row r="130" spans="1:8" ht="63">
      <c r="A130" s="59" t="s">
        <v>396</v>
      </c>
      <c r="B130" s="20" t="s">
        <v>397</v>
      </c>
      <c r="C130" s="58">
        <v>600</v>
      </c>
      <c r="D130" s="77"/>
      <c r="E130" s="183">
        <v>6353055.1</v>
      </c>
      <c r="F130" s="183">
        <v>6353055.1</v>
      </c>
      <c r="G130" s="224">
        <v>6616718</v>
      </c>
      <c r="H130" s="224">
        <v>6353055.1</v>
      </c>
    </row>
    <row r="131" spans="1:8" ht="79.5" customHeight="1">
      <c r="A131" s="156" t="s">
        <v>503</v>
      </c>
      <c r="B131" s="112" t="s">
        <v>398</v>
      </c>
      <c r="C131" s="113">
        <v>600</v>
      </c>
      <c r="D131" s="114">
        <v>261600</v>
      </c>
      <c r="E131" s="114">
        <v>0</v>
      </c>
      <c r="F131" s="114">
        <v>0</v>
      </c>
      <c r="G131" s="224"/>
      <c r="H131" s="224"/>
    </row>
    <row r="132" spans="1:8" ht="78.75">
      <c r="A132" s="59" t="s">
        <v>556</v>
      </c>
      <c r="B132" s="20" t="s">
        <v>558</v>
      </c>
      <c r="C132" s="58">
        <v>600</v>
      </c>
      <c r="D132" s="77"/>
      <c r="E132" s="77">
        <v>0</v>
      </c>
      <c r="F132" s="77">
        <v>0</v>
      </c>
      <c r="G132" s="224"/>
      <c r="H132" s="224"/>
    </row>
    <row r="133" spans="1:8" ht="63">
      <c r="A133" s="156" t="s">
        <v>1100</v>
      </c>
      <c r="B133" s="112" t="s">
        <v>1109</v>
      </c>
      <c r="C133" s="113">
        <v>600</v>
      </c>
      <c r="D133" s="77"/>
      <c r="E133" s="77">
        <v>0</v>
      </c>
      <c r="F133" s="77">
        <v>0</v>
      </c>
      <c r="G133" s="224">
        <v>191000</v>
      </c>
      <c r="H133" s="224"/>
    </row>
    <row r="134" spans="1:8" ht="63">
      <c r="A134" s="156" t="s">
        <v>1102</v>
      </c>
      <c r="B134" s="112" t="s">
        <v>1108</v>
      </c>
      <c r="C134" s="113">
        <v>600</v>
      </c>
      <c r="D134" s="77"/>
      <c r="E134" s="77">
        <v>0</v>
      </c>
      <c r="F134" s="77">
        <v>0</v>
      </c>
      <c r="G134" s="224"/>
      <c r="H134" s="224"/>
    </row>
    <row r="135" spans="1:8" ht="47.25">
      <c r="A135" s="59" t="s">
        <v>545</v>
      </c>
      <c r="B135" s="20" t="s">
        <v>739</v>
      </c>
      <c r="C135" s="58">
        <v>600</v>
      </c>
      <c r="D135" s="77"/>
      <c r="E135" s="77">
        <v>0</v>
      </c>
      <c r="F135" s="77">
        <v>0</v>
      </c>
      <c r="G135" s="224"/>
      <c r="H135" s="224"/>
    </row>
    <row r="136" spans="1:8" ht="19.5" customHeight="1">
      <c r="A136" s="121" t="s">
        <v>1219</v>
      </c>
      <c r="B136" s="19" t="s">
        <v>1220</v>
      </c>
      <c r="C136" s="57"/>
      <c r="D136" s="77"/>
      <c r="E136" s="103">
        <f aca="true" t="shared" si="3" ref="E136:H137">E137</f>
        <v>126000</v>
      </c>
      <c r="F136" s="103">
        <f t="shared" si="3"/>
        <v>126000</v>
      </c>
      <c r="G136" s="223">
        <f t="shared" si="3"/>
        <v>126000</v>
      </c>
      <c r="H136" s="223">
        <f t="shared" si="3"/>
        <v>126000</v>
      </c>
    </row>
    <row r="137" spans="1:8" ht="18.75" customHeight="1">
      <c r="A137" s="121" t="s">
        <v>1250</v>
      </c>
      <c r="B137" s="19" t="s">
        <v>1221</v>
      </c>
      <c r="C137" s="57"/>
      <c r="D137" s="77"/>
      <c r="E137" s="103">
        <f t="shared" si="3"/>
        <v>126000</v>
      </c>
      <c r="F137" s="103">
        <f t="shared" si="3"/>
        <v>126000</v>
      </c>
      <c r="G137" s="223">
        <f t="shared" si="3"/>
        <v>126000</v>
      </c>
      <c r="H137" s="223">
        <f t="shared" si="3"/>
        <v>126000</v>
      </c>
    </row>
    <row r="138" spans="1:8" ht="51" customHeight="1">
      <c r="A138" s="156" t="s">
        <v>1502</v>
      </c>
      <c r="B138" s="112" t="s">
        <v>1515</v>
      </c>
      <c r="C138" s="113">
        <v>200</v>
      </c>
      <c r="D138" s="114"/>
      <c r="E138" s="181">
        <v>126000</v>
      </c>
      <c r="F138" s="181">
        <v>126000</v>
      </c>
      <c r="G138" s="222">
        <v>126000</v>
      </c>
      <c r="H138" s="224">
        <v>126000</v>
      </c>
    </row>
    <row r="139" spans="1:8" ht="47.25">
      <c r="A139" s="120" t="s">
        <v>643</v>
      </c>
      <c r="B139" s="22" t="s">
        <v>399</v>
      </c>
      <c r="C139" s="152"/>
      <c r="D139" s="124" t="e">
        <f>D140+D144+D153+#REF!</f>
        <v>#REF!</v>
      </c>
      <c r="E139" s="124">
        <f>E140+E144+E153+E156+E161+E166+E170</f>
        <v>8499831.27</v>
      </c>
      <c r="F139" s="124">
        <f>F140+F144+F153+F156+F161+F166+F170</f>
        <v>8499831.27</v>
      </c>
      <c r="G139" s="220">
        <f>G140+G144+G153+G156+G161+G166+G170</f>
        <v>12180374.07</v>
      </c>
      <c r="H139" s="220">
        <f>H140+H144+H153+H156+H161+H166+H170</f>
        <v>7411286.07</v>
      </c>
    </row>
    <row r="140" spans="1:8" ht="19.5" customHeight="1">
      <c r="A140" s="121" t="s">
        <v>400</v>
      </c>
      <c r="B140" s="19" t="s">
        <v>401</v>
      </c>
      <c r="C140" s="57"/>
      <c r="D140" s="80" t="e">
        <f>D143+#REF!+#REF!</f>
        <v>#REF!</v>
      </c>
      <c r="E140" s="80">
        <f>E141</f>
        <v>255625.06</v>
      </c>
      <c r="F140" s="80">
        <f>F141</f>
        <v>255625.06</v>
      </c>
      <c r="G140" s="221">
        <f>G141</f>
        <v>255625.06</v>
      </c>
      <c r="H140" s="221">
        <f>H141</f>
        <v>255625.06</v>
      </c>
    </row>
    <row r="141" spans="1:8" ht="36" customHeight="1">
      <c r="A141" s="121" t="s">
        <v>402</v>
      </c>
      <c r="B141" s="19" t="s">
        <v>403</v>
      </c>
      <c r="C141" s="57"/>
      <c r="D141" s="80"/>
      <c r="E141" s="80">
        <f>SUM(E142:E143)</f>
        <v>255625.06</v>
      </c>
      <c r="F141" s="80">
        <f>SUM(F142:F143)</f>
        <v>255625.06</v>
      </c>
      <c r="G141" s="221">
        <f>SUM(G143:G143)</f>
        <v>255625.06</v>
      </c>
      <c r="H141" s="221">
        <f>SUM(H143:H143)</f>
        <v>255625.06</v>
      </c>
    </row>
    <row r="142" spans="1:8" ht="64.5" customHeight="1">
      <c r="A142" s="156" t="s">
        <v>1382</v>
      </c>
      <c r="B142" s="112" t="s">
        <v>1361</v>
      </c>
      <c r="C142" s="113">
        <v>400</v>
      </c>
      <c r="D142" s="114"/>
      <c r="E142" s="114">
        <v>0</v>
      </c>
      <c r="F142" s="114">
        <v>0</v>
      </c>
      <c r="G142" s="221"/>
      <c r="H142" s="221"/>
    </row>
    <row r="143" spans="1:8" ht="47.25">
      <c r="A143" s="60" t="s">
        <v>590</v>
      </c>
      <c r="B143" s="20" t="s">
        <v>404</v>
      </c>
      <c r="C143" s="58">
        <v>200</v>
      </c>
      <c r="D143" s="77">
        <v>-220000</v>
      </c>
      <c r="E143" s="114">
        <v>255625.06</v>
      </c>
      <c r="F143" s="114">
        <v>255625.06</v>
      </c>
      <c r="G143" s="222">
        <v>255625.06</v>
      </c>
      <c r="H143" s="224">
        <v>255625.06</v>
      </c>
    </row>
    <row r="144" spans="1:8" ht="46.5" customHeight="1">
      <c r="A144" s="121" t="s">
        <v>657</v>
      </c>
      <c r="B144" s="19" t="s">
        <v>405</v>
      </c>
      <c r="C144" s="57"/>
      <c r="D144" s="80" t="e">
        <f>#REF!+D151+#REF!+#REF!+#REF!</f>
        <v>#REF!</v>
      </c>
      <c r="E144" s="80">
        <f>E145+E150</f>
        <v>2101083.39</v>
      </c>
      <c r="F144" s="80">
        <f>F145+F150</f>
        <v>2101083.39</v>
      </c>
      <c r="G144" s="221">
        <f>G145+G150</f>
        <v>2101083.39</v>
      </c>
      <c r="H144" s="221">
        <f>H145+H150</f>
        <v>2101083.39</v>
      </c>
    </row>
    <row r="145" spans="1:8" ht="45" customHeight="1">
      <c r="A145" s="121" t="s">
        <v>876</v>
      </c>
      <c r="B145" s="19" t="s">
        <v>406</v>
      </c>
      <c r="C145" s="57"/>
      <c r="D145" s="80"/>
      <c r="E145" s="80">
        <f>SUM(E146:E149)</f>
        <v>501083.39</v>
      </c>
      <c r="F145" s="80">
        <f>SUM(F146:F149)</f>
        <v>501083.39</v>
      </c>
      <c r="G145" s="221">
        <f>SUM(G146:G149)</f>
        <v>501083.39</v>
      </c>
      <c r="H145" s="221">
        <f>SUM(H146:H149)</f>
        <v>501083.39</v>
      </c>
    </row>
    <row r="146" spans="1:8" ht="51" customHeight="1">
      <c r="A146" s="60" t="s">
        <v>648</v>
      </c>
      <c r="B146" s="21" t="s">
        <v>650</v>
      </c>
      <c r="C146" s="78">
        <v>200</v>
      </c>
      <c r="D146" s="79"/>
      <c r="E146" s="114">
        <v>261044.73</v>
      </c>
      <c r="F146" s="114">
        <v>261044.73</v>
      </c>
      <c r="G146" s="222">
        <v>261044.73</v>
      </c>
      <c r="H146" s="225">
        <v>261044.73</v>
      </c>
    </row>
    <row r="147" spans="1:8" ht="63">
      <c r="A147" s="60" t="s">
        <v>636</v>
      </c>
      <c r="B147" s="21" t="s">
        <v>651</v>
      </c>
      <c r="C147" s="78">
        <v>200</v>
      </c>
      <c r="D147" s="79"/>
      <c r="E147" s="114">
        <v>240038.66</v>
      </c>
      <c r="F147" s="114">
        <v>240038.66</v>
      </c>
      <c r="G147" s="222">
        <v>240038.66</v>
      </c>
      <c r="H147" s="225">
        <v>240038.66</v>
      </c>
    </row>
    <row r="148" spans="1:8" ht="81.75" customHeight="1">
      <c r="A148" s="60" t="s">
        <v>734</v>
      </c>
      <c r="B148" s="21" t="s">
        <v>733</v>
      </c>
      <c r="C148" s="78">
        <v>500</v>
      </c>
      <c r="D148" s="79"/>
      <c r="E148" s="79">
        <v>0</v>
      </c>
      <c r="F148" s="79">
        <v>0</v>
      </c>
      <c r="G148" s="225">
        <v>0</v>
      </c>
      <c r="H148" s="225">
        <v>0</v>
      </c>
    </row>
    <row r="149" spans="1:8" ht="82.5" customHeight="1">
      <c r="A149" s="60" t="s">
        <v>734</v>
      </c>
      <c r="B149" s="21" t="s">
        <v>733</v>
      </c>
      <c r="C149" s="78">
        <v>500</v>
      </c>
      <c r="D149" s="79"/>
      <c r="E149" s="79">
        <v>0</v>
      </c>
      <c r="F149" s="79">
        <v>0</v>
      </c>
      <c r="G149" s="225">
        <v>0</v>
      </c>
      <c r="H149" s="225">
        <v>0</v>
      </c>
    </row>
    <row r="150" spans="1:8" ht="31.5">
      <c r="A150" s="121" t="s">
        <v>877</v>
      </c>
      <c r="B150" s="19" t="s">
        <v>878</v>
      </c>
      <c r="C150" s="57"/>
      <c r="D150" s="80"/>
      <c r="E150" s="80">
        <f>SUM(E151:E152)</f>
        <v>1600000</v>
      </c>
      <c r="F150" s="80">
        <f>SUM(F151:F152)</f>
        <v>1600000</v>
      </c>
      <c r="G150" s="221">
        <f>SUM(G151:G152)</f>
        <v>1600000</v>
      </c>
      <c r="H150" s="221">
        <f>SUM(H151:H152)</f>
        <v>1600000</v>
      </c>
    </row>
    <row r="151" spans="1:8" ht="49.5" customHeight="1">
      <c r="A151" s="60" t="s">
        <v>591</v>
      </c>
      <c r="B151" s="21" t="s">
        <v>879</v>
      </c>
      <c r="C151" s="78">
        <v>200</v>
      </c>
      <c r="D151" s="79"/>
      <c r="E151" s="114">
        <v>115836</v>
      </c>
      <c r="F151" s="114">
        <v>115836</v>
      </c>
      <c r="G151" s="222">
        <v>115836</v>
      </c>
      <c r="H151" s="225">
        <v>115836</v>
      </c>
    </row>
    <row r="152" spans="1:8" ht="63" customHeight="1">
      <c r="A152" s="63" t="s">
        <v>647</v>
      </c>
      <c r="B152" s="20" t="s">
        <v>880</v>
      </c>
      <c r="C152" s="58">
        <v>200</v>
      </c>
      <c r="D152" s="77"/>
      <c r="E152" s="114">
        <v>1484164</v>
      </c>
      <c r="F152" s="114">
        <v>1484164</v>
      </c>
      <c r="G152" s="222">
        <v>1484164</v>
      </c>
      <c r="H152" s="224">
        <v>1484164</v>
      </c>
    </row>
    <row r="153" spans="1:8" ht="31.5">
      <c r="A153" s="121" t="s">
        <v>659</v>
      </c>
      <c r="B153" s="19" t="s">
        <v>407</v>
      </c>
      <c r="C153" s="57"/>
      <c r="D153" s="80" t="e">
        <f>SUM(#REF!)</f>
        <v>#REF!</v>
      </c>
      <c r="E153" s="80">
        <f>E154</f>
        <v>0</v>
      </c>
      <c r="F153" s="80">
        <f>F154</f>
        <v>0</v>
      </c>
      <c r="G153" s="221">
        <f>G154</f>
        <v>0</v>
      </c>
      <c r="H153" s="221">
        <f>H154</f>
        <v>0</v>
      </c>
    </row>
    <row r="154" spans="1:8" ht="15.75">
      <c r="A154" s="121" t="s">
        <v>409</v>
      </c>
      <c r="B154" s="19" t="s">
        <v>408</v>
      </c>
      <c r="C154" s="57"/>
      <c r="D154" s="80"/>
      <c r="E154" s="80">
        <f>SUM(E155:E155)</f>
        <v>0</v>
      </c>
      <c r="F154" s="80">
        <f>SUM(F155:F155)</f>
        <v>0</v>
      </c>
      <c r="G154" s="221">
        <f>SUM(G155:G155)</f>
        <v>0</v>
      </c>
      <c r="H154" s="221">
        <f>SUM(H155:H155)</f>
        <v>0</v>
      </c>
    </row>
    <row r="155" spans="1:8" ht="47.25">
      <c r="A155" s="60" t="s">
        <v>955</v>
      </c>
      <c r="B155" s="21" t="s">
        <v>958</v>
      </c>
      <c r="C155" s="78">
        <v>300</v>
      </c>
      <c r="D155" s="79"/>
      <c r="E155" s="79">
        <v>0</v>
      </c>
      <c r="F155" s="79">
        <v>0</v>
      </c>
      <c r="G155" s="225">
        <v>0</v>
      </c>
      <c r="H155" s="225">
        <v>0</v>
      </c>
    </row>
    <row r="156" spans="1:8" ht="31.5">
      <c r="A156" s="121" t="s">
        <v>893</v>
      </c>
      <c r="B156" s="19" t="s">
        <v>632</v>
      </c>
      <c r="C156" s="57"/>
      <c r="D156" s="80">
        <f>SUM(D158:D159)</f>
        <v>223500</v>
      </c>
      <c r="E156" s="80">
        <f>E157</f>
        <v>2978103.62</v>
      </c>
      <c r="F156" s="80">
        <f>F157</f>
        <v>2978103.62</v>
      </c>
      <c r="G156" s="221">
        <f>G157</f>
        <v>2978103.62</v>
      </c>
      <c r="H156" s="221">
        <f>H157</f>
        <v>2978103.62</v>
      </c>
    </row>
    <row r="157" spans="1:8" ht="33" customHeight="1">
      <c r="A157" s="121" t="s">
        <v>1386</v>
      </c>
      <c r="B157" s="19" t="s">
        <v>633</v>
      </c>
      <c r="C157" s="57"/>
      <c r="D157" s="80"/>
      <c r="E157" s="80">
        <f>SUM(E158:E160)</f>
        <v>2978103.62</v>
      </c>
      <c r="F157" s="80">
        <f>SUM(F158:F160)</f>
        <v>2978103.62</v>
      </c>
      <c r="G157" s="221">
        <f>SUM(G158:G160)</f>
        <v>2978103.62</v>
      </c>
      <c r="H157" s="221">
        <f>SUM(H158:H160)</f>
        <v>2978103.62</v>
      </c>
    </row>
    <row r="158" spans="1:8" ht="47.25">
      <c r="A158" s="59" t="s">
        <v>1004</v>
      </c>
      <c r="B158" s="20" t="s">
        <v>652</v>
      </c>
      <c r="C158" s="58">
        <v>200</v>
      </c>
      <c r="D158" s="77">
        <v>223500</v>
      </c>
      <c r="E158" s="181">
        <v>1546853.1</v>
      </c>
      <c r="F158" s="181">
        <v>1546853.1</v>
      </c>
      <c r="G158" s="222">
        <v>1546853.1</v>
      </c>
      <c r="H158" s="224">
        <v>1546853.1</v>
      </c>
    </row>
    <row r="159" spans="1:8" ht="47.25">
      <c r="A159" s="59" t="s">
        <v>629</v>
      </c>
      <c r="B159" s="20" t="s">
        <v>653</v>
      </c>
      <c r="C159" s="58">
        <v>200</v>
      </c>
      <c r="D159" s="77"/>
      <c r="E159" s="181">
        <v>1235573.6</v>
      </c>
      <c r="F159" s="181">
        <v>1235573.6</v>
      </c>
      <c r="G159" s="222">
        <v>1235573.6</v>
      </c>
      <c r="H159" s="224">
        <v>1235573.6</v>
      </c>
    </row>
    <row r="160" spans="1:8" ht="63">
      <c r="A160" s="125" t="s">
        <v>1009</v>
      </c>
      <c r="B160" s="20" t="s">
        <v>1075</v>
      </c>
      <c r="C160" s="58">
        <v>800</v>
      </c>
      <c r="D160" s="77"/>
      <c r="E160" s="181">
        <v>195676.92</v>
      </c>
      <c r="F160" s="181">
        <v>195676.92</v>
      </c>
      <c r="G160" s="222">
        <v>195676.92</v>
      </c>
      <c r="H160" s="224">
        <v>195676.92</v>
      </c>
    </row>
    <row r="161" spans="1:8" ht="36.75" customHeight="1">
      <c r="A161" s="121" t="s">
        <v>649</v>
      </c>
      <c r="B161" s="19" t="s">
        <v>634</v>
      </c>
      <c r="C161" s="57"/>
      <c r="D161" s="80">
        <f>SUM(D173:D174)</f>
        <v>0</v>
      </c>
      <c r="E161" s="80">
        <f>E162</f>
        <v>404820</v>
      </c>
      <c r="F161" s="80">
        <f>F162</f>
        <v>404820</v>
      </c>
      <c r="G161" s="221">
        <f>G162</f>
        <v>404820</v>
      </c>
      <c r="H161" s="221">
        <f>H162</f>
        <v>404820</v>
      </c>
    </row>
    <row r="162" spans="1:8" ht="31.5">
      <c r="A162" s="121" t="s">
        <v>639</v>
      </c>
      <c r="B162" s="19" t="s">
        <v>635</v>
      </c>
      <c r="C162" s="57"/>
      <c r="D162" s="80"/>
      <c r="E162" s="80">
        <f>E163+E164+E165</f>
        <v>404820</v>
      </c>
      <c r="F162" s="80">
        <f>F163+F164+F165</f>
        <v>404820</v>
      </c>
      <c r="G162" s="221">
        <f>G163+G164+G165</f>
        <v>404820</v>
      </c>
      <c r="H162" s="221">
        <f>H163+H164+H165</f>
        <v>404820</v>
      </c>
    </row>
    <row r="163" spans="1:13" s="146" customFormat="1" ht="47.25" hidden="1">
      <c r="A163" s="60" t="s">
        <v>637</v>
      </c>
      <c r="B163" s="112" t="s">
        <v>654</v>
      </c>
      <c r="C163" s="113">
        <v>200</v>
      </c>
      <c r="D163" s="114"/>
      <c r="E163" s="114">
        <v>0</v>
      </c>
      <c r="F163" s="114">
        <v>0</v>
      </c>
      <c r="G163" s="222">
        <v>0</v>
      </c>
      <c r="H163" s="222">
        <v>0</v>
      </c>
      <c r="K163" s="245"/>
      <c r="L163" s="245"/>
      <c r="M163" s="245"/>
    </row>
    <row r="164" spans="1:13" s="146" customFormat="1" ht="78.75">
      <c r="A164" s="60" t="s">
        <v>721</v>
      </c>
      <c r="B164" s="112" t="s">
        <v>720</v>
      </c>
      <c r="C164" s="113">
        <v>500</v>
      </c>
      <c r="D164" s="114"/>
      <c r="E164" s="114">
        <v>0</v>
      </c>
      <c r="F164" s="114">
        <v>0</v>
      </c>
      <c r="G164" s="222">
        <v>0</v>
      </c>
      <c r="H164" s="222">
        <v>0</v>
      </c>
      <c r="K164" s="245"/>
      <c r="L164" s="245"/>
      <c r="M164" s="245"/>
    </row>
    <row r="165" spans="1:13" s="146" customFormat="1" ht="63">
      <c r="A165" s="125" t="s">
        <v>881</v>
      </c>
      <c r="B165" s="112" t="s">
        <v>655</v>
      </c>
      <c r="C165" s="113">
        <v>200</v>
      </c>
      <c r="D165" s="114"/>
      <c r="E165" s="114">
        <v>404820</v>
      </c>
      <c r="F165" s="114">
        <v>404820</v>
      </c>
      <c r="G165" s="222">
        <v>404820</v>
      </c>
      <c r="H165" s="222">
        <v>404820</v>
      </c>
      <c r="K165" s="245"/>
      <c r="L165" s="245"/>
      <c r="M165" s="245"/>
    </row>
    <row r="166" spans="1:13" s="146" customFormat="1" ht="36" customHeight="1">
      <c r="A166" s="121" t="s">
        <v>932</v>
      </c>
      <c r="B166" s="19" t="s">
        <v>894</v>
      </c>
      <c r="C166" s="102"/>
      <c r="D166" s="103"/>
      <c r="E166" s="103">
        <f>E167</f>
        <v>0</v>
      </c>
      <c r="F166" s="103">
        <f>F167</f>
        <v>0</v>
      </c>
      <c r="G166" s="223">
        <f>G167</f>
        <v>0</v>
      </c>
      <c r="H166" s="223">
        <f>H167</f>
        <v>0</v>
      </c>
      <c r="K166" s="245"/>
      <c r="L166" s="245"/>
      <c r="M166" s="245"/>
    </row>
    <row r="167" spans="1:13" s="146" customFormat="1" ht="32.25" customHeight="1">
      <c r="A167" s="121" t="s">
        <v>933</v>
      </c>
      <c r="B167" s="19" t="s">
        <v>895</v>
      </c>
      <c r="C167" s="102"/>
      <c r="D167" s="103"/>
      <c r="E167" s="103">
        <f>E168+E169</f>
        <v>0</v>
      </c>
      <c r="F167" s="103">
        <f>F168+F169</f>
        <v>0</v>
      </c>
      <c r="G167" s="223">
        <f>G168+G169</f>
        <v>0</v>
      </c>
      <c r="H167" s="223">
        <f>H168+H169</f>
        <v>0</v>
      </c>
      <c r="K167" s="245"/>
      <c r="L167" s="245"/>
      <c r="M167" s="245"/>
    </row>
    <row r="168" spans="1:13" s="146" customFormat="1" ht="47.25">
      <c r="A168" s="125" t="s">
        <v>934</v>
      </c>
      <c r="B168" s="112" t="s">
        <v>935</v>
      </c>
      <c r="C168" s="113">
        <v>200</v>
      </c>
      <c r="D168" s="114"/>
      <c r="E168" s="114">
        <v>0</v>
      </c>
      <c r="F168" s="114">
        <v>0</v>
      </c>
      <c r="G168" s="222"/>
      <c r="H168" s="222"/>
      <c r="K168" s="245"/>
      <c r="L168" s="245"/>
      <c r="M168" s="245"/>
    </row>
    <row r="169" spans="1:13" s="146" customFormat="1" ht="47.25">
      <c r="A169" s="125" t="s">
        <v>964</v>
      </c>
      <c r="B169" s="112" t="s">
        <v>992</v>
      </c>
      <c r="C169" s="113">
        <v>200</v>
      </c>
      <c r="D169" s="114"/>
      <c r="E169" s="114">
        <v>0</v>
      </c>
      <c r="F169" s="114">
        <v>0</v>
      </c>
      <c r="G169" s="222"/>
      <c r="H169" s="222"/>
      <c r="K169" s="245"/>
      <c r="L169" s="245"/>
      <c r="M169" s="245"/>
    </row>
    <row r="170" spans="1:13" s="146" customFormat="1" ht="47.25">
      <c r="A170" s="121" t="s">
        <v>1047</v>
      </c>
      <c r="B170" s="19" t="s">
        <v>1048</v>
      </c>
      <c r="C170" s="102"/>
      <c r="D170" s="114"/>
      <c r="E170" s="103">
        <f aca="true" t="shared" si="4" ref="E170:H171">E171</f>
        <v>2760199.2</v>
      </c>
      <c r="F170" s="103">
        <f t="shared" si="4"/>
        <v>2760199.2</v>
      </c>
      <c r="G170" s="223">
        <f t="shared" si="4"/>
        <v>6440742</v>
      </c>
      <c r="H170" s="223">
        <f t="shared" si="4"/>
        <v>1671654</v>
      </c>
      <c r="K170" s="245"/>
      <c r="L170" s="245"/>
      <c r="M170" s="245"/>
    </row>
    <row r="171" spans="1:13" s="146" customFormat="1" ht="47.25" customHeight="1">
      <c r="A171" s="121" t="s">
        <v>1049</v>
      </c>
      <c r="B171" s="19" t="s">
        <v>1050</v>
      </c>
      <c r="C171" s="102"/>
      <c r="D171" s="114"/>
      <c r="E171" s="103">
        <f t="shared" si="4"/>
        <v>2760199.2</v>
      </c>
      <c r="F171" s="103">
        <f t="shared" si="4"/>
        <v>2760199.2</v>
      </c>
      <c r="G171" s="223">
        <f t="shared" si="4"/>
        <v>6440742</v>
      </c>
      <c r="H171" s="223">
        <f t="shared" si="4"/>
        <v>1671654</v>
      </c>
      <c r="K171" s="245"/>
      <c r="L171" s="245"/>
      <c r="M171" s="245"/>
    </row>
    <row r="172" spans="1:13" s="146" customFormat="1" ht="69" customHeight="1">
      <c r="A172" s="191" t="s">
        <v>1005</v>
      </c>
      <c r="B172" s="112" t="s">
        <v>1162</v>
      </c>
      <c r="C172" s="113">
        <v>400</v>
      </c>
      <c r="D172" s="114"/>
      <c r="E172" s="489">
        <v>2760199.2</v>
      </c>
      <c r="F172" s="489">
        <v>2760199.2</v>
      </c>
      <c r="G172" s="222">
        <v>6440742</v>
      </c>
      <c r="H172" s="222">
        <v>1671654</v>
      </c>
      <c r="K172" s="245"/>
      <c r="L172" s="245"/>
      <c r="M172" s="245"/>
    </row>
    <row r="173" spans="1:8" ht="31.5">
      <c r="A173" s="120" t="s">
        <v>644</v>
      </c>
      <c r="B173" s="22" t="s">
        <v>410</v>
      </c>
      <c r="C173" s="152"/>
      <c r="D173" s="124">
        <f>D174+D177</f>
        <v>0</v>
      </c>
      <c r="E173" s="124">
        <f>E174+E177</f>
        <v>450000</v>
      </c>
      <c r="F173" s="124">
        <f>F174+F177</f>
        <v>450000</v>
      </c>
      <c r="G173" s="220">
        <f>G174+G177</f>
        <v>863721</v>
      </c>
      <c r="H173" s="220">
        <f>H174+H177</f>
        <v>450000</v>
      </c>
    </row>
    <row r="174" spans="1:8" ht="31.5">
      <c r="A174" s="121" t="s">
        <v>660</v>
      </c>
      <c r="B174" s="19" t="s">
        <v>411</v>
      </c>
      <c r="C174" s="57"/>
      <c r="D174" s="80">
        <f>D176</f>
        <v>0</v>
      </c>
      <c r="E174" s="80">
        <f aca="true" t="shared" si="5" ref="E174:H175">E175</f>
        <v>250000</v>
      </c>
      <c r="F174" s="80">
        <f t="shared" si="5"/>
        <v>250000</v>
      </c>
      <c r="G174" s="221">
        <f t="shared" si="5"/>
        <v>250000</v>
      </c>
      <c r="H174" s="221">
        <f t="shared" si="5"/>
        <v>250000</v>
      </c>
    </row>
    <row r="175" spans="1:8" ht="20.25" customHeight="1">
      <c r="A175" s="121" t="s">
        <v>416</v>
      </c>
      <c r="B175" s="19" t="s">
        <v>412</v>
      </c>
      <c r="C175" s="57"/>
      <c r="D175" s="80"/>
      <c r="E175" s="80">
        <f t="shared" si="5"/>
        <v>250000</v>
      </c>
      <c r="F175" s="80">
        <f t="shared" si="5"/>
        <v>250000</v>
      </c>
      <c r="G175" s="221">
        <f t="shared" si="5"/>
        <v>250000</v>
      </c>
      <c r="H175" s="221">
        <f t="shared" si="5"/>
        <v>250000</v>
      </c>
    </row>
    <row r="176" spans="1:8" ht="63">
      <c r="A176" s="59" t="s">
        <v>656</v>
      </c>
      <c r="B176" s="20" t="s">
        <v>413</v>
      </c>
      <c r="C176" s="58">
        <v>200</v>
      </c>
      <c r="D176" s="77"/>
      <c r="E176" s="114">
        <v>250000</v>
      </c>
      <c r="F176" s="114">
        <v>250000</v>
      </c>
      <c r="G176" s="222">
        <v>250000</v>
      </c>
      <c r="H176" s="224">
        <v>250000</v>
      </c>
    </row>
    <row r="177" spans="1:8" ht="31.5">
      <c r="A177" s="121" t="s">
        <v>661</v>
      </c>
      <c r="B177" s="19" t="s">
        <v>414</v>
      </c>
      <c r="C177" s="57"/>
      <c r="D177" s="80">
        <f>D179</f>
        <v>0</v>
      </c>
      <c r="E177" s="80">
        <f>E178</f>
        <v>200000</v>
      </c>
      <c r="F177" s="80">
        <f>F178</f>
        <v>200000</v>
      </c>
      <c r="G177" s="221">
        <f>G178</f>
        <v>613721</v>
      </c>
      <c r="H177" s="221">
        <f>H178</f>
        <v>200000</v>
      </c>
    </row>
    <row r="178" spans="1:8" ht="31.5">
      <c r="A178" s="121" t="s">
        <v>883</v>
      </c>
      <c r="B178" s="19" t="s">
        <v>415</v>
      </c>
      <c r="C178" s="57"/>
      <c r="D178" s="80"/>
      <c r="E178" s="80">
        <f>E179+E180</f>
        <v>200000</v>
      </c>
      <c r="F178" s="80">
        <f>F179+F180</f>
        <v>200000</v>
      </c>
      <c r="G178" s="221">
        <f>G179+G180</f>
        <v>613721</v>
      </c>
      <c r="H178" s="221">
        <f>H179+H180</f>
        <v>200000</v>
      </c>
    </row>
    <row r="179" spans="1:8" ht="48.75" customHeight="1">
      <c r="A179" s="59" t="s">
        <v>884</v>
      </c>
      <c r="B179" s="20" t="s">
        <v>417</v>
      </c>
      <c r="C179" s="58">
        <v>200</v>
      </c>
      <c r="D179" s="77"/>
      <c r="E179" s="114">
        <v>125000</v>
      </c>
      <c r="F179" s="114">
        <v>125000</v>
      </c>
      <c r="G179" s="222">
        <v>164120</v>
      </c>
      <c r="H179" s="224">
        <v>125000</v>
      </c>
    </row>
    <row r="180" spans="1:8" ht="47.25">
      <c r="A180" s="59" t="s">
        <v>885</v>
      </c>
      <c r="B180" s="20" t="s">
        <v>886</v>
      </c>
      <c r="C180" s="58">
        <v>200</v>
      </c>
      <c r="D180" s="77"/>
      <c r="E180" s="114">
        <v>75000</v>
      </c>
      <c r="F180" s="114">
        <v>75000</v>
      </c>
      <c r="G180" s="222">
        <v>449601</v>
      </c>
      <c r="H180" s="224">
        <v>75000</v>
      </c>
    </row>
    <row r="181" spans="1:8" ht="31.5">
      <c r="A181" s="120" t="s">
        <v>645</v>
      </c>
      <c r="B181" s="22" t="s">
        <v>418</v>
      </c>
      <c r="C181" s="484"/>
      <c r="D181" s="124" t="e">
        <f>D182+D195+D234</f>
        <v>#REF!</v>
      </c>
      <c r="E181" s="124">
        <f>E182+E195+E234</f>
        <v>150495369.79</v>
      </c>
      <c r="F181" s="124">
        <f>F182+F195+F234</f>
        <v>152567672.82000002</v>
      </c>
      <c r="G181" s="220">
        <f>G182+G195+G234</f>
        <v>209061409.67000002</v>
      </c>
      <c r="H181" s="220">
        <f>H182+H195+H234</f>
        <v>209061409.67000002</v>
      </c>
    </row>
    <row r="182" spans="1:8" ht="18.75" customHeight="1">
      <c r="A182" s="121" t="s">
        <v>419</v>
      </c>
      <c r="B182" s="19" t="s">
        <v>420</v>
      </c>
      <c r="C182" s="57"/>
      <c r="D182" s="80">
        <f>SUM(D184:D194)</f>
        <v>5093368</v>
      </c>
      <c r="E182" s="80">
        <f>E183</f>
        <v>80227732.34</v>
      </c>
      <c r="F182" s="80">
        <f>F183</f>
        <v>80227732.34</v>
      </c>
      <c r="G182" s="221">
        <f>G183</f>
        <v>80272896.34</v>
      </c>
      <c r="H182" s="221">
        <f>H183</f>
        <v>80272896.34</v>
      </c>
    </row>
    <row r="183" spans="1:8" ht="39" customHeight="1">
      <c r="A183" s="121" t="s">
        <v>896</v>
      </c>
      <c r="B183" s="19" t="s">
        <v>421</v>
      </c>
      <c r="C183" s="57"/>
      <c r="D183" s="80"/>
      <c r="E183" s="80">
        <f>SUM(E184:E194)</f>
        <v>80227732.34</v>
      </c>
      <c r="F183" s="80">
        <f>SUM(F184:F194)</f>
        <v>80227732.34</v>
      </c>
      <c r="G183" s="221">
        <f>SUM(G184:G194)</f>
        <v>80272896.34</v>
      </c>
      <c r="H183" s="221">
        <f>SUM(H184:H194)</f>
        <v>80272896.34</v>
      </c>
    </row>
    <row r="184" spans="1:8" ht="65.25" customHeight="1">
      <c r="A184" s="59" t="s">
        <v>422</v>
      </c>
      <c r="B184" s="20" t="s">
        <v>423</v>
      </c>
      <c r="C184" s="58">
        <v>600</v>
      </c>
      <c r="D184" s="77">
        <v>500000</v>
      </c>
      <c r="E184" s="79">
        <v>3716164.59</v>
      </c>
      <c r="F184" s="79">
        <v>3716164.59</v>
      </c>
      <c r="G184" s="222">
        <v>3743425.6</v>
      </c>
      <c r="H184" s="224">
        <v>3743425.6</v>
      </c>
    </row>
    <row r="185" spans="1:8" ht="99" customHeight="1">
      <c r="A185" s="59" t="s">
        <v>680</v>
      </c>
      <c r="B185" s="20" t="s">
        <v>688</v>
      </c>
      <c r="C185" s="58">
        <v>600</v>
      </c>
      <c r="D185" s="77"/>
      <c r="E185" s="79">
        <v>11006249.37</v>
      </c>
      <c r="F185" s="79">
        <v>11006249.37</v>
      </c>
      <c r="G185" s="222">
        <v>11006249.37</v>
      </c>
      <c r="H185" s="224">
        <v>11006249.37</v>
      </c>
    </row>
    <row r="186" spans="1:8" ht="66" customHeight="1">
      <c r="A186" s="156" t="s">
        <v>1093</v>
      </c>
      <c r="B186" s="20" t="s">
        <v>1088</v>
      </c>
      <c r="C186" s="58">
        <v>600</v>
      </c>
      <c r="D186" s="77"/>
      <c r="E186" s="79">
        <v>50000</v>
      </c>
      <c r="F186" s="79">
        <v>50000</v>
      </c>
      <c r="G186" s="222">
        <v>50000</v>
      </c>
      <c r="H186" s="224">
        <v>50000</v>
      </c>
    </row>
    <row r="187" spans="1:8" ht="78.75">
      <c r="A187" s="59" t="s">
        <v>1252</v>
      </c>
      <c r="B187" s="20" t="s">
        <v>689</v>
      </c>
      <c r="C187" s="58">
        <v>600</v>
      </c>
      <c r="D187" s="77"/>
      <c r="E187" s="79">
        <v>6897919.62</v>
      </c>
      <c r="F187" s="79">
        <v>6897919.62</v>
      </c>
      <c r="G187" s="222">
        <v>7189583.41</v>
      </c>
      <c r="H187" s="224">
        <v>7189583.41</v>
      </c>
    </row>
    <row r="188" spans="1:8" ht="78.75">
      <c r="A188" s="59" t="s">
        <v>683</v>
      </c>
      <c r="B188" s="20" t="s">
        <v>690</v>
      </c>
      <c r="C188" s="58">
        <v>600</v>
      </c>
      <c r="D188" s="77"/>
      <c r="E188" s="77">
        <v>0</v>
      </c>
      <c r="F188" s="77">
        <v>0</v>
      </c>
      <c r="G188" s="224"/>
      <c r="H188" s="224"/>
    </row>
    <row r="189" spans="1:8" ht="86.25" customHeight="1">
      <c r="A189" s="59" t="s">
        <v>682</v>
      </c>
      <c r="B189" s="20" t="s">
        <v>691</v>
      </c>
      <c r="C189" s="58">
        <v>600</v>
      </c>
      <c r="D189" s="77"/>
      <c r="E189" s="79">
        <v>6354215.34</v>
      </c>
      <c r="F189" s="79">
        <v>6354215.34</v>
      </c>
      <c r="G189" s="222">
        <v>6085290.54</v>
      </c>
      <c r="H189" s="224">
        <v>6085290.54</v>
      </c>
    </row>
    <row r="190" spans="1:8" ht="63">
      <c r="A190" s="59" t="s">
        <v>424</v>
      </c>
      <c r="B190" s="20" t="s">
        <v>425</v>
      </c>
      <c r="C190" s="58">
        <v>600</v>
      </c>
      <c r="D190" s="77"/>
      <c r="E190" s="171">
        <v>5906304.72</v>
      </c>
      <c r="F190" s="171">
        <v>5906304.72</v>
      </c>
      <c r="G190" s="222">
        <v>5906304.72</v>
      </c>
      <c r="H190" s="224">
        <v>5906304.72</v>
      </c>
    </row>
    <row r="191" spans="1:8" ht="83.25" customHeight="1">
      <c r="A191" s="59" t="s">
        <v>983</v>
      </c>
      <c r="B191" s="20" t="s">
        <v>982</v>
      </c>
      <c r="C191" s="58">
        <v>600</v>
      </c>
      <c r="D191" s="77"/>
      <c r="E191" s="77">
        <v>0</v>
      </c>
      <c r="F191" s="77">
        <v>0</v>
      </c>
      <c r="G191" s="224"/>
      <c r="H191" s="224"/>
    </row>
    <row r="192" spans="1:8" ht="126" customHeight="1">
      <c r="A192" s="432" t="s">
        <v>708</v>
      </c>
      <c r="B192" s="112" t="s">
        <v>427</v>
      </c>
      <c r="C192" s="113">
        <v>600</v>
      </c>
      <c r="D192" s="114">
        <v>-875880</v>
      </c>
      <c r="E192" s="114">
        <v>298092</v>
      </c>
      <c r="F192" s="114">
        <v>298092</v>
      </c>
      <c r="G192" s="224">
        <v>293256</v>
      </c>
      <c r="H192" s="224">
        <v>293256</v>
      </c>
    </row>
    <row r="193" spans="1:8" ht="78" customHeight="1">
      <c r="A193" s="433" t="s">
        <v>707</v>
      </c>
      <c r="B193" s="112" t="s">
        <v>1230</v>
      </c>
      <c r="C193" s="113">
        <v>300</v>
      </c>
      <c r="D193" s="114"/>
      <c r="E193" s="169">
        <v>1130892.7</v>
      </c>
      <c r="F193" s="169">
        <v>1130892.7</v>
      </c>
      <c r="G193" s="222">
        <v>1130892.7</v>
      </c>
      <c r="H193" s="222">
        <v>1130892.7</v>
      </c>
    </row>
    <row r="194" spans="1:8" ht="126.75" customHeight="1">
      <c r="A194" s="157" t="s">
        <v>1258</v>
      </c>
      <c r="B194" s="112" t="s">
        <v>428</v>
      </c>
      <c r="C194" s="113">
        <v>600</v>
      </c>
      <c r="D194" s="114">
        <v>5469248</v>
      </c>
      <c r="E194" s="114">
        <v>44867894</v>
      </c>
      <c r="F194" s="114">
        <v>44867894</v>
      </c>
      <c r="G194" s="224">
        <v>44867894</v>
      </c>
      <c r="H194" s="224">
        <v>44867894</v>
      </c>
    </row>
    <row r="195" spans="1:8" ht="31.5">
      <c r="A195" s="107" t="s">
        <v>429</v>
      </c>
      <c r="B195" s="19" t="s">
        <v>430</v>
      </c>
      <c r="C195" s="57"/>
      <c r="D195" s="80">
        <f>SUM(D197:D228)</f>
        <v>987111</v>
      </c>
      <c r="E195" s="80">
        <f>E196+E231</f>
        <v>64047514.709999986</v>
      </c>
      <c r="F195" s="80">
        <f>F196+F231</f>
        <v>66955518.39000001</v>
      </c>
      <c r="G195" s="221">
        <f>G196+G231</f>
        <v>123745253.08000001</v>
      </c>
      <c r="H195" s="221">
        <f>H196+H231</f>
        <v>123745253.08000001</v>
      </c>
    </row>
    <row r="196" spans="1:8" ht="31.5">
      <c r="A196" s="159" t="s">
        <v>914</v>
      </c>
      <c r="B196" s="19" t="s">
        <v>431</v>
      </c>
      <c r="C196" s="57"/>
      <c r="D196" s="80"/>
      <c r="E196" s="80">
        <f>SUM(E197:E230)</f>
        <v>63895800.709999986</v>
      </c>
      <c r="F196" s="80">
        <f>SUM(F197:F230)</f>
        <v>66803804.39000001</v>
      </c>
      <c r="G196" s="221">
        <f>SUM(G197:G228)</f>
        <v>123593539.08000001</v>
      </c>
      <c r="H196" s="221">
        <f>SUM(H197:H228)</f>
        <v>123593539.08000001</v>
      </c>
    </row>
    <row r="197" spans="1:8" ht="63">
      <c r="A197" s="63" t="s">
        <v>432</v>
      </c>
      <c r="B197" s="20" t="s">
        <v>433</v>
      </c>
      <c r="C197" s="58">
        <v>600</v>
      </c>
      <c r="D197" s="77"/>
      <c r="E197" s="114">
        <f>5965142.43-160.1</f>
        <v>5964982.33</v>
      </c>
      <c r="F197" s="114">
        <f>5965142.43-158-158.44</f>
        <v>5964825.989999999</v>
      </c>
      <c r="G197" s="224">
        <v>6510272.53</v>
      </c>
      <c r="H197" s="224">
        <v>6510272.53</v>
      </c>
    </row>
    <row r="198" spans="1:8" ht="94.5">
      <c r="A198" s="63" t="s">
        <v>684</v>
      </c>
      <c r="B198" s="20" t="s">
        <v>692</v>
      </c>
      <c r="C198" s="58">
        <v>600</v>
      </c>
      <c r="D198" s="77"/>
      <c r="E198" s="114">
        <v>6193211.07</v>
      </c>
      <c r="F198" s="114">
        <v>6193211.77</v>
      </c>
      <c r="G198" s="224">
        <v>6193210.77</v>
      </c>
      <c r="H198" s="224">
        <v>6193210.77</v>
      </c>
    </row>
    <row r="199" spans="1:8" ht="63.75" customHeight="1">
      <c r="A199" s="63" t="s">
        <v>685</v>
      </c>
      <c r="B199" s="20" t="s">
        <v>693</v>
      </c>
      <c r="C199" s="58">
        <v>600</v>
      </c>
      <c r="D199" s="77"/>
      <c r="E199" s="114">
        <v>7532485.85</v>
      </c>
      <c r="F199" s="114">
        <v>7532485.85</v>
      </c>
      <c r="G199" s="224">
        <v>7436808.27</v>
      </c>
      <c r="H199" s="224">
        <v>7436808.27</v>
      </c>
    </row>
    <row r="200" spans="1:8" ht="63" customHeight="1">
      <c r="A200" s="63" t="s">
        <v>1095</v>
      </c>
      <c r="B200" s="20" t="s">
        <v>1090</v>
      </c>
      <c r="C200" s="58">
        <v>600</v>
      </c>
      <c r="D200" s="77"/>
      <c r="E200" s="430">
        <v>515348.4499999881</v>
      </c>
      <c r="F200" s="431">
        <v>509348.45</v>
      </c>
      <c r="G200" s="224">
        <v>535135.19</v>
      </c>
      <c r="H200" s="224">
        <v>535135.19</v>
      </c>
    </row>
    <row r="201" spans="1:8" ht="78.75">
      <c r="A201" s="63" t="s">
        <v>686</v>
      </c>
      <c r="B201" s="20" t="s">
        <v>694</v>
      </c>
      <c r="C201" s="58">
        <v>600</v>
      </c>
      <c r="D201" s="77"/>
      <c r="E201" s="77">
        <v>0</v>
      </c>
      <c r="F201" s="77">
        <v>0</v>
      </c>
      <c r="G201" s="224"/>
      <c r="H201" s="224"/>
    </row>
    <row r="202" spans="1:8" ht="81" customHeight="1">
      <c r="A202" s="63" t="s">
        <v>687</v>
      </c>
      <c r="B202" s="20" t="s">
        <v>695</v>
      </c>
      <c r="C202" s="58">
        <v>600</v>
      </c>
      <c r="D202" s="77"/>
      <c r="E202" s="114">
        <f>8866425.96-3645.02</f>
        <v>8862780.940000001</v>
      </c>
      <c r="F202" s="114">
        <f>8866425.96-3537.4</f>
        <v>8862888.56</v>
      </c>
      <c r="G202" s="224">
        <v>6864666.73</v>
      </c>
      <c r="H202" s="224">
        <v>6864666.73</v>
      </c>
    </row>
    <row r="203" spans="1:8" ht="48" customHeight="1" hidden="1">
      <c r="A203" s="122" t="s">
        <v>560</v>
      </c>
      <c r="B203" s="20" t="s">
        <v>561</v>
      </c>
      <c r="C203" s="58">
        <v>600</v>
      </c>
      <c r="D203" s="77"/>
      <c r="E203" s="114">
        <v>0</v>
      </c>
      <c r="F203" s="114">
        <v>0</v>
      </c>
      <c r="G203" s="224">
        <v>1744200</v>
      </c>
      <c r="H203" s="224">
        <v>1744200</v>
      </c>
    </row>
    <row r="204" spans="1:8" ht="78.75" hidden="1">
      <c r="A204" s="158" t="s">
        <v>994</v>
      </c>
      <c r="B204" s="20" t="s">
        <v>949</v>
      </c>
      <c r="C204" s="58">
        <v>600</v>
      </c>
      <c r="D204" s="77"/>
      <c r="E204" s="77"/>
      <c r="F204" s="77"/>
      <c r="G204" s="224"/>
      <c r="H204" s="224"/>
    </row>
    <row r="205" spans="1:8" ht="63" customHeight="1" hidden="1">
      <c r="A205" s="158" t="s">
        <v>993</v>
      </c>
      <c r="B205" s="20" t="s">
        <v>949</v>
      </c>
      <c r="C205" s="58">
        <v>200</v>
      </c>
      <c r="D205" s="77"/>
      <c r="E205" s="77"/>
      <c r="F205" s="77"/>
      <c r="G205" s="224"/>
      <c r="H205" s="224"/>
    </row>
    <row r="206" spans="1:8" ht="69" customHeight="1" hidden="1">
      <c r="A206" s="156" t="s">
        <v>1324</v>
      </c>
      <c r="B206" s="20" t="s">
        <v>1323</v>
      </c>
      <c r="C206" s="58">
        <v>600</v>
      </c>
      <c r="D206" s="77"/>
      <c r="E206" s="77">
        <v>0</v>
      </c>
      <c r="F206" s="77"/>
      <c r="G206" s="224"/>
      <c r="H206" s="224"/>
    </row>
    <row r="207" spans="1:8" ht="64.5" customHeight="1" hidden="1">
      <c r="A207" s="156" t="s">
        <v>1334</v>
      </c>
      <c r="B207" s="20" t="s">
        <v>1346</v>
      </c>
      <c r="C207" s="58">
        <v>600</v>
      </c>
      <c r="D207" s="77"/>
      <c r="E207" s="114"/>
      <c r="F207" s="77"/>
      <c r="G207" s="224"/>
      <c r="H207" s="224"/>
    </row>
    <row r="208" spans="1:8" ht="81" customHeight="1">
      <c r="A208" s="63" t="s">
        <v>434</v>
      </c>
      <c r="B208" s="20" t="s">
        <v>435</v>
      </c>
      <c r="C208" s="58">
        <v>100</v>
      </c>
      <c r="D208" s="77"/>
      <c r="E208" s="114">
        <v>5582697.84</v>
      </c>
      <c r="F208" s="114">
        <v>5582697.84</v>
      </c>
      <c r="G208" s="224">
        <v>5582697.84</v>
      </c>
      <c r="H208" s="224">
        <v>5582697.84</v>
      </c>
    </row>
    <row r="209" spans="1:8" ht="47.25">
      <c r="A209" s="63" t="s">
        <v>592</v>
      </c>
      <c r="B209" s="20" t="s">
        <v>435</v>
      </c>
      <c r="C209" s="58">
        <v>200</v>
      </c>
      <c r="D209" s="77">
        <v>-745000</v>
      </c>
      <c r="E209" s="114">
        <f>9994881.27-580.78-160.1-158.46</f>
        <v>9993981.93</v>
      </c>
      <c r="F209" s="114">
        <f>9994881.27-563.62-316-158.44</f>
        <v>9993843.21</v>
      </c>
      <c r="G209" s="224">
        <v>9971008.73</v>
      </c>
      <c r="H209" s="224">
        <v>9971008.73</v>
      </c>
    </row>
    <row r="210" spans="1:8" ht="31.5">
      <c r="A210" s="63" t="s">
        <v>436</v>
      </c>
      <c r="B210" s="20" t="s">
        <v>435</v>
      </c>
      <c r="C210" s="58">
        <v>800</v>
      </c>
      <c r="D210" s="77"/>
      <c r="E210" s="114">
        <v>178607.92</v>
      </c>
      <c r="F210" s="114">
        <v>178607.92</v>
      </c>
      <c r="G210" s="224">
        <v>202935.92</v>
      </c>
      <c r="H210" s="224">
        <v>202935.92</v>
      </c>
    </row>
    <row r="211" spans="1:8" ht="47.25" hidden="1">
      <c r="A211" s="122" t="s">
        <v>593</v>
      </c>
      <c r="B211" s="20" t="s">
        <v>562</v>
      </c>
      <c r="C211" s="58">
        <v>200</v>
      </c>
      <c r="D211" s="77"/>
      <c r="E211" s="77"/>
      <c r="F211" s="77"/>
      <c r="G211" s="224">
        <v>323000</v>
      </c>
      <c r="H211" s="224">
        <v>323000</v>
      </c>
    </row>
    <row r="212" spans="1:8" ht="71.25" customHeight="1">
      <c r="A212" s="63" t="s">
        <v>594</v>
      </c>
      <c r="B212" s="20" t="s">
        <v>437</v>
      </c>
      <c r="C212" s="58">
        <v>200</v>
      </c>
      <c r="D212" s="77">
        <v>745000</v>
      </c>
      <c r="E212" s="114">
        <v>1400000</v>
      </c>
      <c r="F212" s="114">
        <v>1400000</v>
      </c>
      <c r="G212" s="224">
        <v>1400000</v>
      </c>
      <c r="H212" s="224">
        <v>1400000</v>
      </c>
    </row>
    <row r="213" spans="1:8" ht="51.75" customHeight="1" hidden="1">
      <c r="A213" s="156" t="s">
        <v>1321</v>
      </c>
      <c r="B213" s="20" t="s">
        <v>1322</v>
      </c>
      <c r="C213" s="58">
        <v>200</v>
      </c>
      <c r="D213" s="77"/>
      <c r="E213" s="77"/>
      <c r="F213" s="77"/>
      <c r="G213" s="224"/>
      <c r="H213" s="224"/>
    </row>
    <row r="214" spans="1:8" ht="51.75" customHeight="1" hidden="1">
      <c r="A214" s="156" t="s">
        <v>1333</v>
      </c>
      <c r="B214" s="20" t="s">
        <v>1346</v>
      </c>
      <c r="C214" s="58">
        <v>200</v>
      </c>
      <c r="D214" s="77"/>
      <c r="E214" s="114"/>
      <c r="F214" s="77"/>
      <c r="G214" s="224"/>
      <c r="H214" s="224"/>
    </row>
    <row r="215" spans="1:8" ht="51.75" customHeight="1">
      <c r="A215" s="156" t="s">
        <v>1568</v>
      </c>
      <c r="B215" s="112" t="s">
        <v>1346</v>
      </c>
      <c r="C215" s="113">
        <v>200</v>
      </c>
      <c r="D215" s="77"/>
      <c r="E215" s="114">
        <v>1584567.51</v>
      </c>
      <c r="F215" s="77">
        <v>3127668.4</v>
      </c>
      <c r="G215" s="224"/>
      <c r="H215" s="224"/>
    </row>
    <row r="216" spans="1:8" ht="65.25" customHeight="1">
      <c r="A216" s="156" t="s">
        <v>1569</v>
      </c>
      <c r="B216" s="112" t="s">
        <v>1346</v>
      </c>
      <c r="C216" s="113">
        <v>600</v>
      </c>
      <c r="D216" s="77"/>
      <c r="E216" s="114">
        <v>1584567.51</v>
      </c>
      <c r="F216" s="77">
        <v>1563834.2</v>
      </c>
      <c r="G216" s="224"/>
      <c r="H216" s="224"/>
    </row>
    <row r="217" spans="1:8" ht="65.25" customHeight="1">
      <c r="A217" s="157" t="s">
        <v>1583</v>
      </c>
      <c r="B217" s="112" t="s">
        <v>1587</v>
      </c>
      <c r="C217" s="113">
        <v>200</v>
      </c>
      <c r="D217" s="77"/>
      <c r="E217" s="114">
        <v>1568904.26</v>
      </c>
      <c r="F217" s="77">
        <v>1568664.34</v>
      </c>
      <c r="G217" s="224"/>
      <c r="H217" s="224"/>
    </row>
    <row r="218" spans="1:8" ht="65.25" customHeight="1">
      <c r="A218" s="157" t="s">
        <v>1582</v>
      </c>
      <c r="B218" s="112" t="s">
        <v>1587</v>
      </c>
      <c r="C218" s="113">
        <v>600</v>
      </c>
      <c r="D218" s="77"/>
      <c r="E218" s="114">
        <v>0</v>
      </c>
      <c r="F218" s="77">
        <v>1568664.34</v>
      </c>
      <c r="G218" s="224"/>
      <c r="H218" s="224"/>
    </row>
    <row r="219" spans="1:8" ht="68.25" customHeight="1">
      <c r="A219" s="157" t="s">
        <v>596</v>
      </c>
      <c r="B219" s="112" t="s">
        <v>1357</v>
      </c>
      <c r="C219" s="113">
        <v>200</v>
      </c>
      <c r="D219" s="114"/>
      <c r="E219" s="181">
        <f>71148+63525</f>
        <v>134673</v>
      </c>
      <c r="F219" s="181">
        <f>71148+63525</f>
        <v>134673</v>
      </c>
      <c r="G219" s="224"/>
      <c r="H219" s="224"/>
    </row>
    <row r="220" spans="1:8" ht="66.75" customHeight="1">
      <c r="A220" s="157" t="s">
        <v>1329</v>
      </c>
      <c r="B220" s="112" t="s">
        <v>1357</v>
      </c>
      <c r="C220" s="113">
        <v>600</v>
      </c>
      <c r="D220" s="114"/>
      <c r="E220" s="114">
        <v>393855</v>
      </c>
      <c r="F220" s="114">
        <v>393855</v>
      </c>
      <c r="G220" s="224"/>
      <c r="H220" s="224"/>
    </row>
    <row r="221" spans="1:8" ht="83.25" customHeight="1">
      <c r="A221" s="156" t="s">
        <v>855</v>
      </c>
      <c r="B221" s="112" t="s">
        <v>1358</v>
      </c>
      <c r="C221" s="113">
        <v>600</v>
      </c>
      <c r="D221" s="114"/>
      <c r="E221" s="169">
        <v>50820</v>
      </c>
      <c r="F221" s="169">
        <v>50820</v>
      </c>
      <c r="G221" s="224"/>
      <c r="H221" s="224"/>
    </row>
    <row r="222" spans="1:8" ht="96.75" customHeight="1">
      <c r="A222" s="156" t="s">
        <v>709</v>
      </c>
      <c r="B222" s="112" t="s">
        <v>438</v>
      </c>
      <c r="C222" s="113">
        <v>200</v>
      </c>
      <c r="D222" s="114">
        <v>-370500</v>
      </c>
      <c r="E222" s="114">
        <v>37380</v>
      </c>
      <c r="F222" s="114">
        <v>37380</v>
      </c>
      <c r="G222" s="224">
        <v>35942</v>
      </c>
      <c r="H222" s="224">
        <v>35942</v>
      </c>
    </row>
    <row r="223" spans="1:8" ht="94.5">
      <c r="A223" s="156" t="s">
        <v>707</v>
      </c>
      <c r="B223" s="112" t="s">
        <v>604</v>
      </c>
      <c r="C223" s="113">
        <v>300</v>
      </c>
      <c r="D223" s="114"/>
      <c r="E223" s="114">
        <v>86620.1</v>
      </c>
      <c r="F223" s="114">
        <v>86620.1</v>
      </c>
      <c r="G223" s="222">
        <v>86620.1</v>
      </c>
      <c r="H223" s="222">
        <v>86620.1</v>
      </c>
    </row>
    <row r="224" spans="1:8" ht="141.75" customHeight="1">
      <c r="A224" s="157" t="s">
        <v>1602</v>
      </c>
      <c r="B224" s="112" t="s">
        <v>1385</v>
      </c>
      <c r="C224" s="113">
        <v>100</v>
      </c>
      <c r="D224" s="114"/>
      <c r="E224" s="489">
        <v>1406160</v>
      </c>
      <c r="F224" s="489">
        <v>1406160</v>
      </c>
      <c r="G224" s="222"/>
      <c r="H224" s="222"/>
    </row>
    <row r="225" spans="1:8" ht="111.75" customHeight="1">
      <c r="A225" s="157" t="s">
        <v>1603</v>
      </c>
      <c r="B225" s="112" t="s">
        <v>1385</v>
      </c>
      <c r="C225" s="113">
        <v>600</v>
      </c>
      <c r="D225" s="114"/>
      <c r="E225" s="489">
        <v>4843440</v>
      </c>
      <c r="F225" s="489">
        <v>4843440</v>
      </c>
      <c r="G225" s="222"/>
      <c r="H225" s="222"/>
    </row>
    <row r="226" spans="1:8" ht="177" customHeight="1">
      <c r="A226" s="63" t="s">
        <v>710</v>
      </c>
      <c r="B226" s="20" t="s">
        <v>439</v>
      </c>
      <c r="C226" s="58">
        <v>100</v>
      </c>
      <c r="D226" s="77"/>
      <c r="E226" s="77">
        <v>0</v>
      </c>
      <c r="F226" s="77">
        <v>0</v>
      </c>
      <c r="G226" s="224">
        <v>14929201</v>
      </c>
      <c r="H226" s="224">
        <v>14929201</v>
      </c>
    </row>
    <row r="227" spans="1:8" ht="145.5" customHeight="1">
      <c r="A227" s="63" t="s">
        <v>711</v>
      </c>
      <c r="B227" s="20" t="s">
        <v>439</v>
      </c>
      <c r="C227" s="58">
        <v>200</v>
      </c>
      <c r="D227" s="77"/>
      <c r="E227" s="77">
        <v>0</v>
      </c>
      <c r="F227" s="77">
        <v>0</v>
      </c>
      <c r="G227" s="224">
        <v>162328</v>
      </c>
      <c r="H227" s="224">
        <v>162328</v>
      </c>
    </row>
    <row r="228" spans="1:8" ht="156.75" customHeight="1">
      <c r="A228" s="63" t="s">
        <v>712</v>
      </c>
      <c r="B228" s="20" t="s">
        <v>439</v>
      </c>
      <c r="C228" s="58">
        <v>600</v>
      </c>
      <c r="D228" s="77">
        <v>1357611</v>
      </c>
      <c r="E228" s="77">
        <v>0</v>
      </c>
      <c r="F228" s="77">
        <v>0</v>
      </c>
      <c r="G228" s="224">
        <v>61615512</v>
      </c>
      <c r="H228" s="224">
        <v>61615512</v>
      </c>
    </row>
    <row r="229" spans="1:8" ht="72" customHeight="1">
      <c r="A229" s="157" t="s">
        <v>1404</v>
      </c>
      <c r="B229" s="112" t="s">
        <v>1403</v>
      </c>
      <c r="C229" s="113">
        <v>200</v>
      </c>
      <c r="D229" s="77"/>
      <c r="E229" s="114">
        <v>821970.38</v>
      </c>
      <c r="F229" s="114">
        <v>797698.82</v>
      </c>
      <c r="G229" s="224"/>
      <c r="H229" s="224"/>
    </row>
    <row r="230" spans="1:8" ht="72" customHeight="1">
      <c r="A230" s="157" t="s">
        <v>1405</v>
      </c>
      <c r="B230" s="112" t="s">
        <v>1403</v>
      </c>
      <c r="C230" s="113">
        <v>600</v>
      </c>
      <c r="D230" s="77"/>
      <c r="E230" s="114">
        <v>5158746.62</v>
      </c>
      <c r="F230" s="114">
        <v>5006416.6</v>
      </c>
      <c r="G230" s="224"/>
      <c r="H230" s="224"/>
    </row>
    <row r="231" spans="1:8" ht="31.5">
      <c r="A231" s="159" t="s">
        <v>915</v>
      </c>
      <c r="B231" s="101" t="s">
        <v>836</v>
      </c>
      <c r="C231" s="102"/>
      <c r="D231" s="103"/>
      <c r="E231" s="103">
        <f>E232+E233</f>
        <v>151714</v>
      </c>
      <c r="F231" s="103">
        <f>F232+F233</f>
        <v>151714</v>
      </c>
      <c r="G231" s="223">
        <f>G232+G233</f>
        <v>151714</v>
      </c>
      <c r="H231" s="223">
        <f>H232+H233</f>
        <v>151714</v>
      </c>
    </row>
    <row r="232" spans="1:8" ht="63" hidden="1">
      <c r="A232" s="63" t="s">
        <v>954</v>
      </c>
      <c r="B232" s="20" t="s">
        <v>961</v>
      </c>
      <c r="C232" s="58">
        <v>600</v>
      </c>
      <c r="D232" s="77"/>
      <c r="E232" s="77"/>
      <c r="F232" s="77"/>
      <c r="G232" s="224"/>
      <c r="H232" s="224"/>
    </row>
    <row r="233" spans="1:8" ht="63">
      <c r="A233" s="63" t="s">
        <v>954</v>
      </c>
      <c r="B233" s="20" t="s">
        <v>962</v>
      </c>
      <c r="C233" s="58">
        <v>600</v>
      </c>
      <c r="D233" s="77"/>
      <c r="E233" s="114">
        <v>151714</v>
      </c>
      <c r="F233" s="114">
        <v>151714</v>
      </c>
      <c r="G233" s="224">
        <v>151714</v>
      </c>
      <c r="H233" s="224">
        <v>151714</v>
      </c>
    </row>
    <row r="234" spans="1:8" ht="31.5">
      <c r="A234" s="107" t="s">
        <v>440</v>
      </c>
      <c r="B234" s="19" t="s">
        <v>441</v>
      </c>
      <c r="C234" s="57"/>
      <c r="D234" s="80" t="e">
        <f>D236+#REF!+D240</f>
        <v>#REF!</v>
      </c>
      <c r="E234" s="80">
        <f>E235</f>
        <v>6220122.74</v>
      </c>
      <c r="F234" s="80">
        <f>F235</f>
        <v>5384422.09</v>
      </c>
      <c r="G234" s="221">
        <f>G235</f>
        <v>5043260.25</v>
      </c>
      <c r="H234" s="221">
        <f>H235</f>
        <v>5043260.25</v>
      </c>
    </row>
    <row r="235" spans="1:8" ht="31.5">
      <c r="A235" s="107" t="s">
        <v>897</v>
      </c>
      <c r="B235" s="19" t="s">
        <v>442</v>
      </c>
      <c r="C235" s="57"/>
      <c r="D235" s="80"/>
      <c r="E235" s="80">
        <f>SUM(E236:E240)</f>
        <v>6220122.74</v>
      </c>
      <c r="F235" s="80">
        <f>SUM(F236:F240)</f>
        <v>5384422.09</v>
      </c>
      <c r="G235" s="221">
        <f>SUM(G236:G240)</f>
        <v>5043260.25</v>
      </c>
      <c r="H235" s="221">
        <f>SUM(H236:H240)</f>
        <v>5043260.25</v>
      </c>
    </row>
    <row r="236" spans="1:8" ht="66.75" customHeight="1">
      <c r="A236" s="63" t="s">
        <v>443</v>
      </c>
      <c r="B236" s="20" t="s">
        <v>444</v>
      </c>
      <c r="C236" s="58">
        <v>600</v>
      </c>
      <c r="D236" s="77"/>
      <c r="E236" s="169">
        <f>5589440.34-50</f>
        <v>5589390.34</v>
      </c>
      <c r="F236" s="169">
        <v>5246222.09</v>
      </c>
      <c r="G236" s="224">
        <v>4905060.25</v>
      </c>
      <c r="H236" s="224">
        <v>4905060.25</v>
      </c>
    </row>
    <row r="237" spans="1:8" ht="83.25" customHeight="1">
      <c r="A237" s="63" t="s">
        <v>838</v>
      </c>
      <c r="B237" s="20" t="s">
        <v>839</v>
      </c>
      <c r="C237" s="58">
        <v>600</v>
      </c>
      <c r="D237" s="77"/>
      <c r="E237" s="77">
        <v>0</v>
      </c>
      <c r="F237" s="77">
        <v>0</v>
      </c>
      <c r="G237" s="224"/>
      <c r="H237" s="224"/>
    </row>
    <row r="238" spans="1:8" ht="48.75" customHeight="1">
      <c r="A238" s="128" t="s">
        <v>1310</v>
      </c>
      <c r="B238" s="21" t="s">
        <v>1478</v>
      </c>
      <c r="C238" s="58">
        <v>600</v>
      </c>
      <c r="D238" s="77"/>
      <c r="E238" s="181">
        <v>138200</v>
      </c>
      <c r="F238" s="181">
        <v>138200</v>
      </c>
      <c r="G238" s="224">
        <v>138200</v>
      </c>
      <c r="H238" s="222">
        <v>138200</v>
      </c>
    </row>
    <row r="239" spans="1:8" ht="81" customHeight="1">
      <c r="A239" s="186" t="s">
        <v>1584</v>
      </c>
      <c r="B239" s="21" t="s">
        <v>1588</v>
      </c>
      <c r="C239" s="58">
        <v>600</v>
      </c>
      <c r="D239" s="77"/>
      <c r="E239" s="181">
        <v>492532.4</v>
      </c>
      <c r="F239" s="181">
        <v>0</v>
      </c>
      <c r="G239" s="224"/>
      <c r="H239" s="222"/>
    </row>
    <row r="240" spans="1:8" ht="94.5">
      <c r="A240" s="63" t="s">
        <v>704</v>
      </c>
      <c r="B240" s="20" t="s">
        <v>445</v>
      </c>
      <c r="C240" s="58">
        <v>600</v>
      </c>
      <c r="D240" s="77">
        <v>451896</v>
      </c>
      <c r="E240" s="77">
        <v>0</v>
      </c>
      <c r="F240" s="77">
        <v>0</v>
      </c>
      <c r="G240" s="224"/>
      <c r="H240" s="224"/>
    </row>
    <row r="241" spans="1:8" ht="63">
      <c r="A241" s="149" t="s">
        <v>852</v>
      </c>
      <c r="B241" s="22" t="s">
        <v>446</v>
      </c>
      <c r="C241" s="152"/>
      <c r="D241" s="124" t="e">
        <f>D242+D260+#REF!</f>
        <v>#REF!</v>
      </c>
      <c r="E241" s="124">
        <f>E242+E260+E267</f>
        <v>3767187.45</v>
      </c>
      <c r="F241" s="124">
        <f>F242+F260+F267</f>
        <v>3748187.45</v>
      </c>
      <c r="G241" s="220">
        <f>G242+G260+G267</f>
        <v>3622709.26</v>
      </c>
      <c r="H241" s="220">
        <f>H242+H260+H267</f>
        <v>3615501.8</v>
      </c>
    </row>
    <row r="242" spans="1:8" ht="49.5" customHeight="1">
      <c r="A242" s="107" t="s">
        <v>454</v>
      </c>
      <c r="B242" s="19" t="s">
        <v>447</v>
      </c>
      <c r="C242" s="57"/>
      <c r="D242" s="80">
        <f>D244</f>
        <v>0</v>
      </c>
      <c r="E242" s="80">
        <f>E243+E250+E257</f>
        <v>1184750</v>
      </c>
      <c r="F242" s="80">
        <f>F243+F250+F257</f>
        <v>1169750</v>
      </c>
      <c r="G242" s="221">
        <f>G243+G250+G257</f>
        <v>1712424.5</v>
      </c>
      <c r="H242" s="221">
        <f>H243+H250+H257</f>
        <v>1712424.5</v>
      </c>
    </row>
    <row r="243" spans="1:8" ht="18.75" customHeight="1">
      <c r="A243" s="159" t="s">
        <v>455</v>
      </c>
      <c r="B243" s="19" t="s">
        <v>448</v>
      </c>
      <c r="C243" s="57"/>
      <c r="D243" s="80"/>
      <c r="E243" s="80">
        <f>SUM(E244:E249)</f>
        <v>406000</v>
      </c>
      <c r="F243" s="80">
        <f>SUM(F244:F249)</f>
        <v>406000</v>
      </c>
      <c r="G243" s="221">
        <f>SUM(G244:G249)</f>
        <v>933500</v>
      </c>
      <c r="H243" s="221">
        <f>SUM(H244:H249)</f>
        <v>933500</v>
      </c>
    </row>
    <row r="244" spans="1:8" ht="63" customHeight="1">
      <c r="A244" s="63" t="s">
        <v>678</v>
      </c>
      <c r="B244" s="20" t="s">
        <v>1282</v>
      </c>
      <c r="C244" s="58">
        <v>600</v>
      </c>
      <c r="D244" s="77"/>
      <c r="E244" s="114">
        <v>350000</v>
      </c>
      <c r="F244" s="114">
        <v>350000</v>
      </c>
      <c r="G244" s="224">
        <v>350000</v>
      </c>
      <c r="H244" s="224">
        <v>350000</v>
      </c>
    </row>
    <row r="245" spans="1:8" ht="81" customHeight="1">
      <c r="A245" s="63" t="s">
        <v>723</v>
      </c>
      <c r="B245" s="20" t="s">
        <v>1283</v>
      </c>
      <c r="C245" s="58">
        <v>100</v>
      </c>
      <c r="D245" s="77"/>
      <c r="E245" s="114">
        <v>56000</v>
      </c>
      <c r="F245" s="114">
        <v>56000</v>
      </c>
      <c r="G245" s="224">
        <v>56000</v>
      </c>
      <c r="H245" s="224">
        <v>56000</v>
      </c>
    </row>
    <row r="246" spans="1:8" ht="48" customHeight="1" hidden="1">
      <c r="A246" s="63" t="s">
        <v>596</v>
      </c>
      <c r="B246" s="20" t="s">
        <v>1284</v>
      </c>
      <c r="C246" s="58">
        <v>200</v>
      </c>
      <c r="D246" s="77"/>
      <c r="E246" s="181">
        <v>0</v>
      </c>
      <c r="F246" s="181">
        <v>0</v>
      </c>
      <c r="G246" s="224">
        <v>65500</v>
      </c>
      <c r="H246" s="224">
        <v>65500</v>
      </c>
    </row>
    <row r="247" spans="1:8" ht="48.75" customHeight="1" hidden="1">
      <c r="A247" s="63" t="s">
        <v>596</v>
      </c>
      <c r="B247" s="20" t="s">
        <v>1284</v>
      </c>
      <c r="C247" s="58">
        <v>200</v>
      </c>
      <c r="D247" s="77"/>
      <c r="E247" s="77">
        <v>0</v>
      </c>
      <c r="F247" s="77">
        <v>0</v>
      </c>
      <c r="G247" s="224">
        <v>23100</v>
      </c>
      <c r="H247" s="224">
        <v>23100</v>
      </c>
    </row>
    <row r="248" spans="1:8" ht="64.5" customHeight="1" hidden="1">
      <c r="A248" s="157" t="s">
        <v>1329</v>
      </c>
      <c r="B248" s="20" t="s">
        <v>1284</v>
      </c>
      <c r="C248" s="58">
        <v>600</v>
      </c>
      <c r="D248" s="77"/>
      <c r="E248" s="77">
        <v>0</v>
      </c>
      <c r="F248" s="77">
        <v>0</v>
      </c>
      <c r="G248" s="224">
        <v>392700</v>
      </c>
      <c r="H248" s="224">
        <v>392700</v>
      </c>
    </row>
    <row r="249" spans="1:8" ht="78.75" hidden="1">
      <c r="A249" s="59" t="s">
        <v>855</v>
      </c>
      <c r="B249" s="20" t="s">
        <v>1285</v>
      </c>
      <c r="C249" s="58">
        <v>600</v>
      </c>
      <c r="D249" s="77"/>
      <c r="E249" s="77">
        <v>0</v>
      </c>
      <c r="F249" s="77">
        <v>0</v>
      </c>
      <c r="G249" s="224">
        <v>46200</v>
      </c>
      <c r="H249" s="224">
        <v>46200</v>
      </c>
    </row>
    <row r="250" spans="1:8" ht="31.5">
      <c r="A250" s="154" t="s">
        <v>365</v>
      </c>
      <c r="B250" s="101" t="s">
        <v>1286</v>
      </c>
      <c r="C250" s="103"/>
      <c r="D250" s="103"/>
      <c r="E250" s="103">
        <f>SUM(E251:E256)</f>
        <v>763750</v>
      </c>
      <c r="F250" s="103">
        <f>SUM(F251:F256)</f>
        <v>763750</v>
      </c>
      <c r="G250" s="223">
        <f>SUM(G251:G256)</f>
        <v>763924.5</v>
      </c>
      <c r="H250" s="223">
        <f>SUM(H251:H256)</f>
        <v>763924.5</v>
      </c>
    </row>
    <row r="251" spans="1:8" ht="61.5" customHeight="1">
      <c r="A251" s="59" t="s">
        <v>586</v>
      </c>
      <c r="B251" s="20" t="s">
        <v>1287</v>
      </c>
      <c r="C251" s="58">
        <v>200</v>
      </c>
      <c r="D251" s="77">
        <v>320000</v>
      </c>
      <c r="E251" s="114">
        <v>350000</v>
      </c>
      <c r="F251" s="114">
        <v>350000</v>
      </c>
      <c r="G251" s="222">
        <v>350000</v>
      </c>
      <c r="H251" s="222">
        <v>350000</v>
      </c>
    </row>
    <row r="252" spans="1:8" ht="47.25">
      <c r="A252" s="59" t="s">
        <v>1008</v>
      </c>
      <c r="B252" s="20" t="s">
        <v>1288</v>
      </c>
      <c r="C252" s="58">
        <v>200</v>
      </c>
      <c r="D252" s="77"/>
      <c r="E252" s="114">
        <v>0</v>
      </c>
      <c r="F252" s="114">
        <v>0</v>
      </c>
      <c r="G252" s="222">
        <v>0</v>
      </c>
      <c r="H252" s="222">
        <v>0</v>
      </c>
    </row>
    <row r="253" spans="1:8" ht="52.5" customHeight="1">
      <c r="A253" s="59" t="s">
        <v>977</v>
      </c>
      <c r="B253" s="20" t="s">
        <v>1289</v>
      </c>
      <c r="C253" s="58">
        <v>200</v>
      </c>
      <c r="D253" s="77"/>
      <c r="E253" s="114">
        <v>0</v>
      </c>
      <c r="F253" s="114">
        <v>0</v>
      </c>
      <c r="G253" s="222">
        <v>0</v>
      </c>
      <c r="H253" s="222">
        <v>0</v>
      </c>
    </row>
    <row r="254" spans="1:8" ht="47.25">
      <c r="A254" s="156" t="s">
        <v>587</v>
      </c>
      <c r="B254" s="112" t="s">
        <v>1290</v>
      </c>
      <c r="C254" s="113">
        <v>200</v>
      </c>
      <c r="D254" s="114">
        <v>10975</v>
      </c>
      <c r="E254" s="169">
        <v>10492</v>
      </c>
      <c r="F254" s="169">
        <v>10492</v>
      </c>
      <c r="G254" s="222">
        <v>10666.5</v>
      </c>
      <c r="H254" s="222">
        <v>10666.5</v>
      </c>
    </row>
    <row r="255" spans="1:8" ht="79.5" customHeight="1">
      <c r="A255" s="156" t="s">
        <v>366</v>
      </c>
      <c r="B255" s="112" t="s">
        <v>1291</v>
      </c>
      <c r="C255" s="113">
        <v>100</v>
      </c>
      <c r="D255" s="114">
        <v>383500</v>
      </c>
      <c r="E255" s="114">
        <v>399528</v>
      </c>
      <c r="F255" s="114">
        <v>399528</v>
      </c>
      <c r="G255" s="222">
        <v>399528</v>
      </c>
      <c r="H255" s="222">
        <v>399528</v>
      </c>
    </row>
    <row r="256" spans="1:8" ht="52.5" customHeight="1">
      <c r="A256" s="156" t="s">
        <v>588</v>
      </c>
      <c r="B256" s="112" t="s">
        <v>1291</v>
      </c>
      <c r="C256" s="113">
        <v>200</v>
      </c>
      <c r="D256" s="114">
        <v>63370</v>
      </c>
      <c r="E256" s="114">
        <v>3730</v>
      </c>
      <c r="F256" s="114">
        <v>3730</v>
      </c>
      <c r="G256" s="222">
        <v>3730</v>
      </c>
      <c r="H256" s="222">
        <v>3730</v>
      </c>
    </row>
    <row r="257" spans="1:8" ht="31.5">
      <c r="A257" s="107" t="s">
        <v>987</v>
      </c>
      <c r="B257" s="101" t="s">
        <v>1292</v>
      </c>
      <c r="C257" s="102"/>
      <c r="D257" s="103"/>
      <c r="E257" s="103">
        <f>E258+E259</f>
        <v>15000</v>
      </c>
      <c r="F257" s="103">
        <f>F258+F259</f>
        <v>0</v>
      </c>
      <c r="G257" s="223">
        <f>G258+G259</f>
        <v>15000</v>
      </c>
      <c r="H257" s="223">
        <f>H258+H259</f>
        <v>15000</v>
      </c>
    </row>
    <row r="258" spans="1:8" ht="48" customHeight="1">
      <c r="A258" s="59" t="s">
        <v>1163</v>
      </c>
      <c r="B258" s="20" t="s">
        <v>1293</v>
      </c>
      <c r="C258" s="58">
        <v>200</v>
      </c>
      <c r="D258" s="77"/>
      <c r="E258" s="114">
        <v>9000</v>
      </c>
      <c r="F258" s="114">
        <v>0</v>
      </c>
      <c r="G258" s="222">
        <v>9000</v>
      </c>
      <c r="H258" s="224">
        <v>9000</v>
      </c>
    </row>
    <row r="259" spans="1:8" ht="63">
      <c r="A259" s="59" t="s">
        <v>1164</v>
      </c>
      <c r="B259" s="20" t="s">
        <v>1294</v>
      </c>
      <c r="C259" s="58">
        <v>200</v>
      </c>
      <c r="D259" s="77"/>
      <c r="E259" s="181">
        <v>6000</v>
      </c>
      <c r="F259" s="181">
        <v>0</v>
      </c>
      <c r="G259" s="222">
        <v>6000</v>
      </c>
      <c r="H259" s="224">
        <v>6000</v>
      </c>
    </row>
    <row r="260" spans="1:8" ht="31.5">
      <c r="A260" s="107" t="s">
        <v>456</v>
      </c>
      <c r="B260" s="19" t="s">
        <v>1295</v>
      </c>
      <c r="C260" s="57"/>
      <c r="D260" s="80">
        <f>D262</f>
        <v>0</v>
      </c>
      <c r="E260" s="80">
        <f>E261+E263</f>
        <v>61400</v>
      </c>
      <c r="F260" s="80">
        <f>F261+F263</f>
        <v>57400</v>
      </c>
      <c r="G260" s="221">
        <f>G261+G263</f>
        <v>61400</v>
      </c>
      <c r="H260" s="221">
        <f>H261+H263</f>
        <v>61400</v>
      </c>
    </row>
    <row r="261" spans="1:8" ht="31.5">
      <c r="A261" s="107" t="s">
        <v>988</v>
      </c>
      <c r="B261" s="19" t="s">
        <v>1296</v>
      </c>
      <c r="C261" s="57"/>
      <c r="D261" s="80"/>
      <c r="E261" s="80">
        <f>E262</f>
        <v>4000</v>
      </c>
      <c r="F261" s="80">
        <f>F262</f>
        <v>0</v>
      </c>
      <c r="G261" s="221">
        <f>G262</f>
        <v>4000</v>
      </c>
      <c r="H261" s="221">
        <f>H262</f>
        <v>4000</v>
      </c>
    </row>
    <row r="262" spans="1:8" ht="63">
      <c r="A262" s="63" t="s">
        <v>989</v>
      </c>
      <c r="B262" s="20" t="s">
        <v>1297</v>
      </c>
      <c r="C262" s="58">
        <v>200</v>
      </c>
      <c r="D262" s="77"/>
      <c r="E262" s="181">
        <v>4000</v>
      </c>
      <c r="F262" s="181">
        <v>0</v>
      </c>
      <c r="G262" s="222">
        <v>4000</v>
      </c>
      <c r="H262" s="224">
        <v>4000</v>
      </c>
    </row>
    <row r="263" spans="1:8" ht="31.5">
      <c r="A263" s="107" t="s">
        <v>902</v>
      </c>
      <c r="B263" s="19" t="s">
        <v>1298</v>
      </c>
      <c r="C263" s="57"/>
      <c r="D263" s="77"/>
      <c r="E263" s="103">
        <f>SUM(E264:E266)</f>
        <v>57400</v>
      </c>
      <c r="F263" s="103">
        <f>SUM(F264:F266)</f>
        <v>57400</v>
      </c>
      <c r="G263" s="223">
        <f>SUM(G264:G266)</f>
        <v>57400</v>
      </c>
      <c r="H263" s="223">
        <f>SUM(H264:H266)</f>
        <v>57400</v>
      </c>
    </row>
    <row r="264" spans="1:8" ht="102" customHeight="1">
      <c r="A264" s="63" t="s">
        <v>942</v>
      </c>
      <c r="B264" s="20" t="s">
        <v>1299</v>
      </c>
      <c r="C264" s="58">
        <v>100</v>
      </c>
      <c r="D264" s="77"/>
      <c r="E264" s="114">
        <v>15000</v>
      </c>
      <c r="F264" s="114">
        <v>15000</v>
      </c>
      <c r="G264" s="222">
        <v>15000</v>
      </c>
      <c r="H264" s="224">
        <v>15000</v>
      </c>
    </row>
    <row r="265" spans="1:8" ht="47.25" customHeight="1">
      <c r="A265" s="63" t="s">
        <v>943</v>
      </c>
      <c r="B265" s="20" t="s">
        <v>1300</v>
      </c>
      <c r="C265" s="58">
        <v>200</v>
      </c>
      <c r="D265" s="77"/>
      <c r="E265" s="114">
        <v>5000</v>
      </c>
      <c r="F265" s="114">
        <v>5000</v>
      </c>
      <c r="G265" s="222">
        <v>5000</v>
      </c>
      <c r="H265" s="224">
        <v>5000</v>
      </c>
    </row>
    <row r="266" spans="1:8" ht="63">
      <c r="A266" s="63" t="s">
        <v>913</v>
      </c>
      <c r="B266" s="20" t="s">
        <v>1301</v>
      </c>
      <c r="C266" s="58">
        <v>200</v>
      </c>
      <c r="D266" s="77"/>
      <c r="E266" s="114">
        <v>37400</v>
      </c>
      <c r="F266" s="114">
        <v>37400</v>
      </c>
      <c r="G266" s="222">
        <v>37400</v>
      </c>
      <c r="H266" s="224">
        <v>37400</v>
      </c>
    </row>
    <row r="267" spans="1:8" ht="31.5">
      <c r="A267" s="107" t="s">
        <v>967</v>
      </c>
      <c r="B267" s="19" t="s">
        <v>1302</v>
      </c>
      <c r="C267" s="57"/>
      <c r="D267" s="80">
        <f>D269</f>
        <v>0</v>
      </c>
      <c r="E267" s="80">
        <f>E268</f>
        <v>2521037.45</v>
      </c>
      <c r="F267" s="80">
        <f>F268</f>
        <v>2521037.45</v>
      </c>
      <c r="G267" s="221">
        <f>G268</f>
        <v>1848884.76</v>
      </c>
      <c r="H267" s="221">
        <f>H268</f>
        <v>1841677.3</v>
      </c>
    </row>
    <row r="268" spans="1:8" ht="31.5">
      <c r="A268" s="107" t="s">
        <v>968</v>
      </c>
      <c r="B268" s="19" t="s">
        <v>1303</v>
      </c>
      <c r="C268" s="57"/>
      <c r="D268" s="80"/>
      <c r="E268" s="80">
        <f>E269+E270+E271</f>
        <v>2521037.45</v>
      </c>
      <c r="F268" s="80">
        <f>F269+F270+F271</f>
        <v>2521037.45</v>
      </c>
      <c r="G268" s="221">
        <f>G269+G270+G271</f>
        <v>1848884.76</v>
      </c>
      <c r="H268" s="221">
        <f>H269+H270+H271</f>
        <v>1841677.3</v>
      </c>
    </row>
    <row r="269" spans="1:8" ht="78" customHeight="1">
      <c r="A269" s="63" t="s">
        <v>970</v>
      </c>
      <c r="B269" s="20" t="s">
        <v>1304</v>
      </c>
      <c r="C269" s="58">
        <v>100</v>
      </c>
      <c r="D269" s="77"/>
      <c r="E269" s="169">
        <v>2430927.45</v>
      </c>
      <c r="F269" s="169">
        <v>2430927.45</v>
      </c>
      <c r="G269" s="222">
        <v>1768804.76</v>
      </c>
      <c r="H269" s="224">
        <v>1768804.76</v>
      </c>
    </row>
    <row r="270" spans="1:8" ht="47.25">
      <c r="A270" s="63" t="s">
        <v>969</v>
      </c>
      <c r="B270" s="20" t="s">
        <v>1304</v>
      </c>
      <c r="C270" s="58">
        <v>200</v>
      </c>
      <c r="D270" s="77"/>
      <c r="E270" s="169">
        <v>90110</v>
      </c>
      <c r="F270" s="169">
        <v>90110</v>
      </c>
      <c r="G270" s="222">
        <v>80080</v>
      </c>
      <c r="H270" s="224">
        <v>72872.54</v>
      </c>
    </row>
    <row r="271" spans="1:8" ht="38.25" customHeight="1">
      <c r="A271" s="63" t="s">
        <v>971</v>
      </c>
      <c r="B271" s="20" t="s">
        <v>1304</v>
      </c>
      <c r="C271" s="58">
        <v>800</v>
      </c>
      <c r="D271" s="77"/>
      <c r="E271" s="77">
        <v>0</v>
      </c>
      <c r="F271" s="77">
        <v>0</v>
      </c>
      <c r="G271" s="224"/>
      <c r="H271" s="224"/>
    </row>
    <row r="272" spans="1:8" ht="31.5">
      <c r="A272" s="149" t="s">
        <v>646</v>
      </c>
      <c r="B272" s="22" t="s">
        <v>449</v>
      </c>
      <c r="C272" s="152"/>
      <c r="D272" s="124">
        <f>D273</f>
        <v>0</v>
      </c>
      <c r="E272" s="124">
        <f>E273+E278</f>
        <v>4366700</v>
      </c>
      <c r="F272" s="124">
        <f>F273+F278</f>
        <v>4366700</v>
      </c>
      <c r="G272" s="220">
        <f>G273+G278</f>
        <v>4237000</v>
      </c>
      <c r="H272" s="220">
        <f>H273+H278</f>
        <v>4237000</v>
      </c>
    </row>
    <row r="273" spans="1:8" ht="31.5">
      <c r="A273" s="107" t="s">
        <v>898</v>
      </c>
      <c r="B273" s="19" t="s">
        <v>450</v>
      </c>
      <c r="C273" s="57"/>
      <c r="D273" s="80">
        <f>SUM(D275:D277)</f>
        <v>0</v>
      </c>
      <c r="E273" s="80">
        <f>E274</f>
        <v>4366700</v>
      </c>
      <c r="F273" s="80">
        <f>F274</f>
        <v>4366700</v>
      </c>
      <c r="G273" s="221">
        <f>G274</f>
        <v>4237000</v>
      </c>
      <c r="H273" s="221">
        <f>H274</f>
        <v>4237000</v>
      </c>
    </row>
    <row r="274" spans="1:8" ht="31.5">
      <c r="A274" s="107" t="s">
        <v>953</v>
      </c>
      <c r="B274" s="19" t="s">
        <v>451</v>
      </c>
      <c r="C274" s="57"/>
      <c r="D274" s="80"/>
      <c r="E274" s="80">
        <f>SUM(E275:E277)</f>
        <v>4366700</v>
      </c>
      <c r="F274" s="80">
        <f>SUM(F275:F277)</f>
        <v>4366700</v>
      </c>
      <c r="G274" s="221">
        <f>SUM(G275:G277)</f>
        <v>4237000</v>
      </c>
      <c r="H274" s="221">
        <f>SUM(H275:H277)</f>
        <v>4237000</v>
      </c>
    </row>
    <row r="275" spans="1:8" ht="79.5" customHeight="1">
      <c r="A275" s="63" t="s">
        <v>536</v>
      </c>
      <c r="B275" s="20" t="s">
        <v>453</v>
      </c>
      <c r="C275" s="58">
        <v>100</v>
      </c>
      <c r="D275" s="77">
        <v>56705</v>
      </c>
      <c r="E275" s="183">
        <v>4011006.96</v>
      </c>
      <c r="F275" s="183">
        <v>4010906.96</v>
      </c>
      <c r="G275" s="224">
        <v>3850265.8</v>
      </c>
      <c r="H275" s="224">
        <v>3850265.8</v>
      </c>
    </row>
    <row r="276" spans="1:8" ht="49.5" customHeight="1">
      <c r="A276" s="63" t="s">
        <v>595</v>
      </c>
      <c r="B276" s="20" t="s">
        <v>453</v>
      </c>
      <c r="C276" s="58">
        <v>200</v>
      </c>
      <c r="D276" s="77">
        <v>-50705</v>
      </c>
      <c r="E276" s="183">
        <v>355693.04</v>
      </c>
      <c r="F276" s="435">
        <v>355793.04</v>
      </c>
      <c r="G276" s="224">
        <v>386734.2</v>
      </c>
      <c r="H276" s="224">
        <v>386734.2</v>
      </c>
    </row>
    <row r="277" spans="1:8" ht="27" customHeight="1">
      <c r="A277" s="63" t="s">
        <v>452</v>
      </c>
      <c r="B277" s="20" t="s">
        <v>453</v>
      </c>
      <c r="C277" s="58">
        <v>800</v>
      </c>
      <c r="D277" s="77">
        <v>-6000</v>
      </c>
      <c r="E277" s="79">
        <v>0</v>
      </c>
      <c r="F277" s="79">
        <v>0</v>
      </c>
      <c r="G277" s="224">
        <v>0</v>
      </c>
      <c r="H277" s="224">
        <v>0</v>
      </c>
    </row>
    <row r="278" spans="1:8" ht="31.5">
      <c r="A278" s="107" t="s">
        <v>1069</v>
      </c>
      <c r="B278" s="19" t="s">
        <v>1071</v>
      </c>
      <c r="C278" s="102"/>
      <c r="D278" s="77"/>
      <c r="E278" s="103">
        <f aca="true" t="shared" si="6" ref="E278:H279">E279</f>
        <v>0</v>
      </c>
      <c r="F278" s="103">
        <f t="shared" si="6"/>
        <v>0</v>
      </c>
      <c r="G278" s="223">
        <f t="shared" si="6"/>
        <v>0</v>
      </c>
      <c r="H278" s="223">
        <f t="shared" si="6"/>
        <v>0</v>
      </c>
    </row>
    <row r="279" spans="1:8" ht="31.5">
      <c r="A279" s="107" t="s">
        <v>1070</v>
      </c>
      <c r="B279" s="19" t="s">
        <v>1072</v>
      </c>
      <c r="C279" s="102"/>
      <c r="D279" s="77"/>
      <c r="E279" s="103">
        <f t="shared" si="6"/>
        <v>0</v>
      </c>
      <c r="F279" s="103">
        <f t="shared" si="6"/>
        <v>0</v>
      </c>
      <c r="G279" s="223">
        <f t="shared" si="6"/>
        <v>0</v>
      </c>
      <c r="H279" s="223">
        <f t="shared" si="6"/>
        <v>0</v>
      </c>
    </row>
    <row r="280" spans="1:8" ht="47.25">
      <c r="A280" s="63" t="s">
        <v>1073</v>
      </c>
      <c r="B280" s="20" t="s">
        <v>1074</v>
      </c>
      <c r="C280" s="58">
        <v>200</v>
      </c>
      <c r="D280" s="77"/>
      <c r="E280" s="114">
        <v>0</v>
      </c>
      <c r="F280" s="114">
        <v>0</v>
      </c>
      <c r="G280" s="222">
        <v>0</v>
      </c>
      <c r="H280" s="222">
        <v>0</v>
      </c>
    </row>
    <row r="281" spans="1:8" ht="50.25" customHeight="1">
      <c r="A281" s="149" t="s">
        <v>457</v>
      </c>
      <c r="B281" s="22" t="s">
        <v>458</v>
      </c>
      <c r="C281" s="152"/>
      <c r="D281" s="124">
        <f>D282</f>
        <v>30000</v>
      </c>
      <c r="E281" s="124">
        <f>E282</f>
        <v>2445997.57</v>
      </c>
      <c r="F281" s="124">
        <f>F282</f>
        <v>2524503.83</v>
      </c>
      <c r="G281" s="220">
        <f>G282</f>
        <v>11240763.32</v>
      </c>
      <c r="H281" s="220">
        <f>H282</f>
        <v>8958370.58</v>
      </c>
    </row>
    <row r="282" spans="1:8" ht="15.75">
      <c r="A282" s="107" t="s">
        <v>2</v>
      </c>
      <c r="B282" s="19" t="s">
        <v>459</v>
      </c>
      <c r="C282" s="57"/>
      <c r="D282" s="80">
        <f>SUM(D22:D23)</f>
        <v>30000</v>
      </c>
      <c r="E282" s="80">
        <f>SUM(E283:E298)</f>
        <v>2445997.57</v>
      </c>
      <c r="F282" s="80">
        <f>SUM(F283:F298)</f>
        <v>2524503.83</v>
      </c>
      <c r="G282" s="221">
        <f>SUM(G283:G298)</f>
        <v>11240763.32</v>
      </c>
      <c r="H282" s="221">
        <f>SUM(H283:H298)</f>
        <v>8958370.58</v>
      </c>
    </row>
    <row r="283" spans="1:8" ht="31.5">
      <c r="A283" s="155" t="s">
        <v>610</v>
      </c>
      <c r="B283" s="20" t="s">
        <v>462</v>
      </c>
      <c r="C283" s="58">
        <v>800</v>
      </c>
      <c r="D283" s="77"/>
      <c r="E283" s="169">
        <v>44022</v>
      </c>
      <c r="F283" s="169">
        <v>44022</v>
      </c>
      <c r="G283" s="222">
        <v>44022</v>
      </c>
      <c r="H283" s="224">
        <v>44022</v>
      </c>
    </row>
    <row r="284" spans="1:8" ht="47.25">
      <c r="A284" s="59" t="s">
        <v>598</v>
      </c>
      <c r="B284" s="20" t="s">
        <v>461</v>
      </c>
      <c r="C284" s="58">
        <v>200</v>
      </c>
      <c r="D284" s="77"/>
      <c r="E284" s="114">
        <f>117180-78506.26</f>
        <v>38673.740000000005</v>
      </c>
      <c r="F284" s="114">
        <v>117180</v>
      </c>
      <c r="G284" s="222">
        <v>117180</v>
      </c>
      <c r="H284" s="224">
        <v>117180</v>
      </c>
    </row>
    <row r="285" spans="1:8" ht="47.25">
      <c r="A285" s="59" t="s">
        <v>463</v>
      </c>
      <c r="B285" s="20" t="s">
        <v>464</v>
      </c>
      <c r="C285" s="58">
        <v>400</v>
      </c>
      <c r="D285" s="77"/>
      <c r="E285" s="114">
        <v>0</v>
      </c>
      <c r="F285" s="77">
        <v>0</v>
      </c>
      <c r="G285" s="222"/>
      <c r="H285" s="224"/>
    </row>
    <row r="286" spans="1:8" ht="63.75" customHeight="1" hidden="1">
      <c r="A286" s="59" t="s">
        <v>620</v>
      </c>
      <c r="B286" s="20" t="s">
        <v>614</v>
      </c>
      <c r="C286" s="58">
        <v>200</v>
      </c>
      <c r="D286" s="77"/>
      <c r="E286" s="114">
        <v>0</v>
      </c>
      <c r="F286" s="77">
        <v>0</v>
      </c>
      <c r="G286" s="222"/>
      <c r="H286" s="224"/>
    </row>
    <row r="287" spans="1:8" ht="47.25">
      <c r="A287" s="59" t="s">
        <v>882</v>
      </c>
      <c r="B287" s="20" t="s">
        <v>912</v>
      </c>
      <c r="C287" s="58">
        <v>200</v>
      </c>
      <c r="D287" s="77"/>
      <c r="E287" s="114">
        <v>816533.33</v>
      </c>
      <c r="F287" s="114">
        <v>816533.33</v>
      </c>
      <c r="G287" s="222">
        <v>816533.33</v>
      </c>
      <c r="H287" s="224">
        <v>816533.33</v>
      </c>
    </row>
    <row r="288" spans="1:8" ht="67.5" customHeight="1">
      <c r="A288" s="59" t="s">
        <v>622</v>
      </c>
      <c r="B288" s="20" t="s">
        <v>621</v>
      </c>
      <c r="C288" s="58">
        <v>200</v>
      </c>
      <c r="D288" s="77"/>
      <c r="E288" s="114">
        <v>119659.25</v>
      </c>
      <c r="F288" s="114">
        <v>119659.25</v>
      </c>
      <c r="G288" s="222">
        <v>119659.25</v>
      </c>
      <c r="H288" s="224">
        <v>119659.25</v>
      </c>
    </row>
    <row r="289" spans="1:8" ht="48" customHeight="1" hidden="1">
      <c r="A289" s="59" t="s">
        <v>729</v>
      </c>
      <c r="B289" s="20" t="s">
        <v>728</v>
      </c>
      <c r="C289" s="58">
        <v>200</v>
      </c>
      <c r="D289" s="77"/>
      <c r="E289" s="114"/>
      <c r="F289" s="77"/>
      <c r="G289" s="222"/>
      <c r="H289" s="224"/>
    </row>
    <row r="290" spans="1:8" ht="47.25" hidden="1">
      <c r="A290" s="59" t="s">
        <v>737</v>
      </c>
      <c r="B290" s="20" t="s">
        <v>736</v>
      </c>
      <c r="C290" s="58">
        <v>200</v>
      </c>
      <c r="D290" s="77"/>
      <c r="E290" s="114"/>
      <c r="F290" s="77"/>
      <c r="G290" s="222">
        <f>2032392.74-69684.75</f>
        <v>1962707.99</v>
      </c>
      <c r="H290" s="224">
        <v>0</v>
      </c>
    </row>
    <row r="291" spans="1:8" ht="111.75" customHeight="1">
      <c r="A291" s="60" t="s">
        <v>1215</v>
      </c>
      <c r="B291" s="20" t="s">
        <v>1226</v>
      </c>
      <c r="C291" s="58">
        <v>800</v>
      </c>
      <c r="D291" s="77"/>
      <c r="E291" s="114">
        <v>69684.75</v>
      </c>
      <c r="F291" s="77">
        <v>69684.75</v>
      </c>
      <c r="G291" s="222">
        <v>69684.75</v>
      </c>
      <c r="H291" s="224">
        <v>0</v>
      </c>
    </row>
    <row r="292" spans="1:8" ht="31.5" customHeight="1">
      <c r="A292" s="156" t="s">
        <v>1224</v>
      </c>
      <c r="B292" s="20" t="s">
        <v>1260</v>
      </c>
      <c r="C292" s="58">
        <v>800</v>
      </c>
      <c r="D292" s="77"/>
      <c r="E292" s="169">
        <v>300000</v>
      </c>
      <c r="F292" s="169">
        <v>300000</v>
      </c>
      <c r="G292" s="224">
        <v>300000</v>
      </c>
      <c r="H292" s="224">
        <v>50000</v>
      </c>
    </row>
    <row r="293" spans="1:8" ht="126.75" customHeight="1">
      <c r="A293" s="156" t="s">
        <v>609</v>
      </c>
      <c r="B293" s="112" t="s">
        <v>607</v>
      </c>
      <c r="C293" s="113">
        <v>800</v>
      </c>
      <c r="D293" s="114"/>
      <c r="E293" s="114">
        <v>0</v>
      </c>
      <c r="F293" s="114">
        <v>0</v>
      </c>
      <c r="G293" s="224"/>
      <c r="H293" s="224"/>
    </row>
    <row r="294" spans="1:8" ht="81" customHeight="1">
      <c r="A294" s="156" t="s">
        <v>1359</v>
      </c>
      <c r="B294" s="112" t="s">
        <v>465</v>
      </c>
      <c r="C294" s="113">
        <v>200</v>
      </c>
      <c r="D294" s="114">
        <v>59850</v>
      </c>
      <c r="E294" s="169">
        <v>22424.5</v>
      </c>
      <c r="F294" s="169">
        <v>22424.5</v>
      </c>
      <c r="G294" s="222">
        <v>42939</v>
      </c>
      <c r="H294" s="224">
        <v>42939</v>
      </c>
    </row>
    <row r="295" spans="1:8" ht="111.75" customHeight="1">
      <c r="A295" s="156" t="s">
        <v>599</v>
      </c>
      <c r="B295" s="112" t="s">
        <v>726</v>
      </c>
      <c r="C295" s="113">
        <v>200</v>
      </c>
      <c r="D295" s="114">
        <v>63180</v>
      </c>
      <c r="E295" s="169">
        <v>0</v>
      </c>
      <c r="F295" s="169">
        <v>0</v>
      </c>
      <c r="G295" s="224">
        <v>0</v>
      </c>
      <c r="H295" s="224">
        <v>0</v>
      </c>
    </row>
    <row r="296" spans="1:8" ht="49.5" customHeight="1" hidden="1">
      <c r="A296" s="59" t="s">
        <v>466</v>
      </c>
      <c r="B296" s="20" t="s">
        <v>467</v>
      </c>
      <c r="C296" s="58">
        <v>600</v>
      </c>
      <c r="D296" s="77"/>
      <c r="E296" s="77"/>
      <c r="F296" s="77"/>
      <c r="G296" s="224"/>
      <c r="H296" s="224"/>
    </row>
    <row r="297" spans="1:8" ht="78.75">
      <c r="A297" s="59" t="s">
        <v>1517</v>
      </c>
      <c r="B297" s="20" t="s">
        <v>468</v>
      </c>
      <c r="C297" s="58">
        <v>800</v>
      </c>
      <c r="D297" s="77"/>
      <c r="E297" s="169">
        <v>1035000</v>
      </c>
      <c r="F297" s="169">
        <v>1035000</v>
      </c>
      <c r="G297" s="224">
        <v>1035000</v>
      </c>
      <c r="H297" s="224">
        <v>1035000</v>
      </c>
    </row>
    <row r="298" spans="1:8" ht="161.25" customHeight="1">
      <c r="A298" s="157" t="s">
        <v>469</v>
      </c>
      <c r="B298" s="112" t="s">
        <v>470</v>
      </c>
      <c r="C298" s="113">
        <v>600</v>
      </c>
      <c r="D298" s="114">
        <v>208560</v>
      </c>
      <c r="E298" s="114">
        <v>0</v>
      </c>
      <c r="F298" s="114">
        <v>0</v>
      </c>
      <c r="G298" s="224">
        <v>6733037</v>
      </c>
      <c r="H298" s="224">
        <v>6733037</v>
      </c>
    </row>
    <row r="299" spans="1:8" ht="47.25">
      <c r="A299" s="120" t="s">
        <v>471</v>
      </c>
      <c r="B299" s="22" t="s">
        <v>472</v>
      </c>
      <c r="C299" s="152"/>
      <c r="D299" s="124">
        <f aca="true" t="shared" si="7" ref="D299:H302">D300</f>
        <v>0</v>
      </c>
      <c r="E299" s="124">
        <f t="shared" si="7"/>
        <v>21273.67</v>
      </c>
      <c r="F299" s="124">
        <f>F300</f>
        <v>2633.88</v>
      </c>
      <c r="G299" s="220">
        <f t="shared" si="7"/>
        <v>5490</v>
      </c>
      <c r="H299" s="220">
        <f>H300</f>
        <v>0</v>
      </c>
    </row>
    <row r="300" spans="1:8" ht="15.75">
      <c r="A300" s="121" t="s">
        <v>2</v>
      </c>
      <c r="B300" s="19" t="s">
        <v>473</v>
      </c>
      <c r="C300" s="57"/>
      <c r="D300" s="80">
        <f t="shared" si="7"/>
        <v>0</v>
      </c>
      <c r="E300" s="80">
        <f t="shared" si="7"/>
        <v>21273.67</v>
      </c>
      <c r="F300" s="80">
        <f t="shared" si="7"/>
        <v>2633.88</v>
      </c>
      <c r="G300" s="221">
        <f t="shared" si="7"/>
        <v>5490</v>
      </c>
      <c r="H300" s="221">
        <f t="shared" si="7"/>
        <v>0</v>
      </c>
    </row>
    <row r="301" spans="1:8" ht="52.5" customHeight="1">
      <c r="A301" s="156" t="s">
        <v>1550</v>
      </c>
      <c r="B301" s="112" t="s">
        <v>474</v>
      </c>
      <c r="C301" s="113">
        <v>200</v>
      </c>
      <c r="D301" s="114"/>
      <c r="E301" s="114">
        <v>21273.67</v>
      </c>
      <c r="F301" s="114">
        <v>2633.88</v>
      </c>
      <c r="G301" s="224">
        <v>5490</v>
      </c>
      <c r="H301" s="224">
        <v>0</v>
      </c>
    </row>
    <row r="302" spans="1:8" ht="50.25" customHeight="1">
      <c r="A302" s="120" t="s">
        <v>477</v>
      </c>
      <c r="B302" s="22" t="s">
        <v>475</v>
      </c>
      <c r="C302" s="152"/>
      <c r="D302" s="124" t="e">
        <f t="shared" si="7"/>
        <v>#REF!</v>
      </c>
      <c r="E302" s="124">
        <f t="shared" si="7"/>
        <v>0</v>
      </c>
      <c r="F302" s="124">
        <f>F303</f>
        <v>0</v>
      </c>
      <c r="G302" s="220">
        <f t="shared" si="7"/>
        <v>0</v>
      </c>
      <c r="H302" s="220">
        <f>H303</f>
        <v>0</v>
      </c>
    </row>
    <row r="303" spans="1:8" ht="15.75">
      <c r="A303" s="121" t="s">
        <v>2</v>
      </c>
      <c r="B303" s="19" t="s">
        <v>476</v>
      </c>
      <c r="C303" s="57"/>
      <c r="D303" s="80" t="e">
        <f>#REF!</f>
        <v>#REF!</v>
      </c>
      <c r="E303" s="80">
        <f>E304</f>
        <v>0</v>
      </c>
      <c r="F303" s="80">
        <f>SUM(F304:F304)</f>
        <v>0</v>
      </c>
      <c r="G303" s="221">
        <f>G304</f>
        <v>0</v>
      </c>
      <c r="H303" s="221">
        <f>SUM(H304:H304)</f>
        <v>0</v>
      </c>
    </row>
    <row r="304" spans="1:8" ht="63">
      <c r="A304" s="59" t="s">
        <v>718</v>
      </c>
      <c r="B304" s="20" t="s">
        <v>854</v>
      </c>
      <c r="C304" s="58">
        <v>600</v>
      </c>
      <c r="D304" s="77"/>
      <c r="E304" s="77">
        <v>0</v>
      </c>
      <c r="F304" s="77">
        <v>0</v>
      </c>
      <c r="G304" s="224"/>
      <c r="H304" s="224"/>
    </row>
    <row r="305" spans="1:10" ht="15.75">
      <c r="A305" s="120" t="s">
        <v>168</v>
      </c>
      <c r="B305" s="161"/>
      <c r="C305" s="161"/>
      <c r="D305" s="162" t="e">
        <f>D10+D17+D54+D70+D83+D106+D118+D139+D173+D181+D241+D272+D281+#REF!+#REF!+#REF!+D299</f>
        <v>#REF!</v>
      </c>
      <c r="E305" s="162">
        <f>E10+E17+E54+E70+E83+E106+E118+E139+E173+E181+E241+E272+E281+E299+E302</f>
        <v>239764004.16999996</v>
      </c>
      <c r="F305" s="162">
        <f>F10+F17+F54+F70+F83+F106+F118+F139+F173+F181+F241+F272+F281+F299+F302</f>
        <v>233697890.23000002</v>
      </c>
      <c r="G305" s="227">
        <f>G10+G17+G54+G70+G83+G106+G118+G139+G173+G181+G241+G272+G281+G299+G302</f>
        <v>302446309.33</v>
      </c>
      <c r="H305" s="227">
        <f>H10+H17+H54+H70+H83+H106+H118+H139+H173+H181+H241+H272+H281+H299+H302</f>
        <v>293724243.6</v>
      </c>
      <c r="I305" s="263"/>
      <c r="J305" s="263"/>
    </row>
    <row r="307" spans="5:8" ht="12.75">
      <c r="E307" s="145"/>
      <c r="F307" s="145"/>
      <c r="G307" s="230"/>
      <c r="H307" s="230"/>
    </row>
    <row r="308" spans="5:11" ht="12.75">
      <c r="E308" s="145"/>
      <c r="F308" s="145"/>
      <c r="G308" s="145"/>
      <c r="H308" s="145"/>
      <c r="I308" s="145"/>
      <c r="J308" s="145"/>
      <c r="K308" s="145"/>
    </row>
    <row r="309" spans="5:6" ht="12.75">
      <c r="E309" s="234"/>
      <c r="F309" s="234"/>
    </row>
    <row r="310" ht="12.75">
      <c r="F310" s="145"/>
    </row>
    <row r="311" spans="5:6" ht="12.75">
      <c r="E311" s="145"/>
      <c r="F311" s="145"/>
    </row>
    <row r="312" spans="2:6" ht="12.75">
      <c r="B312" s="145"/>
      <c r="C312" s="145"/>
      <c r="D312" s="145">
        <f>G305-D310</f>
        <v>302446309.33</v>
      </c>
      <c r="E312" s="145"/>
      <c r="F312" s="145"/>
    </row>
  </sheetData>
  <sheetProtection/>
  <mergeCells count="10">
    <mergeCell ref="G7:H7"/>
    <mergeCell ref="A1:F1"/>
    <mergeCell ref="A2:F2"/>
    <mergeCell ref="A3:F3"/>
    <mergeCell ref="A4:F4"/>
    <mergeCell ref="A5:F5"/>
    <mergeCell ref="A7:A8"/>
    <mergeCell ref="B7:B8"/>
    <mergeCell ref="C7:C8"/>
    <mergeCell ref="D7:F7"/>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P265"/>
  <sheetViews>
    <sheetView tabSelected="1" view="pageBreakPreview" zoomScale="57" zoomScaleNormal="80" zoomScaleSheetLayoutView="57" zoomScalePageLayoutView="0" workbookViewId="0" topLeftCell="A235">
      <selection activeCell="G263" sqref="G263"/>
    </sheetView>
  </sheetViews>
  <sheetFormatPr defaultColWidth="9.140625" defaultRowHeight="12.75"/>
  <cols>
    <col min="1" max="1" width="60.00390625" style="104" customWidth="1"/>
    <col min="2" max="3" width="14.00390625" style="104" customWidth="1"/>
    <col min="4" max="4" width="5.7109375" style="104" customWidth="1"/>
    <col min="5" max="6" width="5.140625" style="104" customWidth="1"/>
    <col min="7" max="7" width="15.28125" style="104" customWidth="1"/>
    <col min="8" max="8" width="14.421875" style="104" customWidth="1"/>
    <col min="9" max="9" width="18.28125" style="233" hidden="1" customWidth="1"/>
    <col min="10" max="10" width="21.28125" style="436" customWidth="1"/>
    <col min="11" max="11" width="22.00390625" style="104" hidden="1" customWidth="1"/>
    <col min="12" max="12" width="0.13671875" style="104" customWidth="1"/>
    <col min="13" max="13" width="21.140625" style="265" hidden="1" customWidth="1"/>
    <col min="14" max="14" width="18.140625" style="104" hidden="1" customWidth="1"/>
    <col min="15" max="15" width="30.421875" style="104" hidden="1" customWidth="1"/>
    <col min="16" max="16" width="48.140625" style="104" customWidth="1"/>
    <col min="17" max="16384" width="9.140625" style="104" customWidth="1"/>
  </cols>
  <sheetData>
    <row r="1" spans="1:10" ht="15.75">
      <c r="A1" s="16"/>
      <c r="B1" s="550" t="s">
        <v>310</v>
      </c>
      <c r="C1" s="550"/>
      <c r="D1" s="550"/>
      <c r="E1" s="550"/>
      <c r="F1" s="550"/>
      <c r="G1" s="550"/>
      <c r="H1" s="550"/>
      <c r="I1" s="550"/>
      <c r="J1" s="550"/>
    </row>
    <row r="2" spans="1:10" ht="15.75">
      <c r="A2" s="17"/>
      <c r="B2" s="550" t="s">
        <v>152</v>
      </c>
      <c r="C2" s="550"/>
      <c r="D2" s="550"/>
      <c r="E2" s="550"/>
      <c r="F2" s="550"/>
      <c r="G2" s="550"/>
      <c r="H2" s="550"/>
      <c r="I2" s="550"/>
      <c r="J2" s="550"/>
    </row>
    <row r="3" spans="1:10" ht="15.75">
      <c r="A3" s="18"/>
      <c r="B3" s="550" t="s">
        <v>1519</v>
      </c>
      <c r="C3" s="550"/>
      <c r="D3" s="550"/>
      <c r="E3" s="550"/>
      <c r="F3" s="550"/>
      <c r="G3" s="550"/>
      <c r="H3" s="550"/>
      <c r="I3" s="550"/>
      <c r="J3" s="550"/>
    </row>
    <row r="4" spans="1:9" ht="15.75">
      <c r="A4" s="18"/>
      <c r="B4" s="18"/>
      <c r="C4" s="18"/>
      <c r="D4" s="18"/>
      <c r="E4" s="18"/>
      <c r="F4" s="18"/>
      <c r="G4" s="18"/>
      <c r="H4" s="18"/>
      <c r="I4" s="475"/>
    </row>
    <row r="5" spans="1:10" ht="12.75">
      <c r="A5" s="514" t="s">
        <v>1458</v>
      </c>
      <c r="B5" s="514"/>
      <c r="C5" s="514"/>
      <c r="D5" s="514"/>
      <c r="E5" s="514"/>
      <c r="F5" s="514"/>
      <c r="G5" s="514"/>
      <c r="H5" s="514"/>
      <c r="I5" s="514"/>
      <c r="J5" s="514"/>
    </row>
    <row r="6" spans="1:10" ht="21" customHeight="1">
      <c r="A6" s="514"/>
      <c r="B6" s="514"/>
      <c r="C6" s="514"/>
      <c r="D6" s="514"/>
      <c r="E6" s="514"/>
      <c r="F6" s="514"/>
      <c r="G6" s="514"/>
      <c r="H6" s="514"/>
      <c r="I6" s="514"/>
      <c r="J6" s="514"/>
    </row>
    <row r="7" spans="1:10" ht="21" customHeight="1">
      <c r="A7" s="268"/>
      <c r="B7" s="268"/>
      <c r="C7" s="268"/>
      <c r="D7" s="268"/>
      <c r="E7" s="268"/>
      <c r="F7" s="268"/>
      <c r="G7" s="268"/>
      <c r="H7" s="268"/>
      <c r="I7" s="476"/>
      <c r="J7" s="268"/>
    </row>
    <row r="8" spans="1:10" ht="15.75" customHeight="1">
      <c r="A8" s="551" t="s">
        <v>154</v>
      </c>
      <c r="B8" s="551" t="s">
        <v>153</v>
      </c>
      <c r="C8" s="551" t="s">
        <v>272</v>
      </c>
      <c r="D8" s="551" t="s">
        <v>273</v>
      </c>
      <c r="E8" s="551"/>
      <c r="F8" s="551"/>
      <c r="G8" s="551"/>
      <c r="H8" s="551" t="s">
        <v>274</v>
      </c>
      <c r="I8" s="548" t="s">
        <v>626</v>
      </c>
      <c r="J8" s="549"/>
    </row>
    <row r="9" spans="1:13" ht="39" customHeight="1">
      <c r="A9" s="551"/>
      <c r="B9" s="551"/>
      <c r="C9" s="551"/>
      <c r="D9" s="163" t="s">
        <v>99</v>
      </c>
      <c r="E9" s="163" t="s">
        <v>100</v>
      </c>
      <c r="F9" s="163" t="s">
        <v>479</v>
      </c>
      <c r="G9" s="163" t="s">
        <v>480</v>
      </c>
      <c r="H9" s="551"/>
      <c r="I9" s="477" t="s">
        <v>605</v>
      </c>
      <c r="J9" s="474" t="s">
        <v>221</v>
      </c>
      <c r="M9" s="265" t="s">
        <v>221</v>
      </c>
    </row>
    <row r="10" spans="1:13" ht="15.75">
      <c r="A10" s="164" t="s">
        <v>68</v>
      </c>
      <c r="B10" s="164" t="s">
        <v>60</v>
      </c>
      <c r="C10" s="164" t="s">
        <v>224</v>
      </c>
      <c r="D10" s="164" t="s">
        <v>139</v>
      </c>
      <c r="E10" s="164" t="s">
        <v>90</v>
      </c>
      <c r="F10" s="164">
        <v>6</v>
      </c>
      <c r="G10" s="164">
        <v>7</v>
      </c>
      <c r="H10" s="164">
        <v>8</v>
      </c>
      <c r="I10" s="131"/>
      <c r="J10" s="164">
        <v>9</v>
      </c>
      <c r="M10" s="265">
        <v>9</v>
      </c>
    </row>
    <row r="11" spans="1:15" ht="15.75">
      <c r="A11" s="166" t="s">
        <v>150</v>
      </c>
      <c r="B11" s="167" t="s">
        <v>149</v>
      </c>
      <c r="C11" s="167"/>
      <c r="D11" s="167"/>
      <c r="E11" s="167"/>
      <c r="F11" s="167"/>
      <c r="G11" s="167"/>
      <c r="H11" s="167"/>
      <c r="I11" s="478">
        <f>I12+I55+I58+I82+I107+I112+I130+I143</f>
        <v>3035537.17</v>
      </c>
      <c r="J11" s="148">
        <f>J12+J55+J58+J82+J107+J112+J130+J143</f>
        <v>106550314.27000001</v>
      </c>
      <c r="M11" s="265">
        <v>103514777.1</v>
      </c>
      <c r="N11" s="234"/>
      <c r="O11" s="234">
        <f aca="true" t="shared" si="0" ref="O11:O74">M11+I11</f>
        <v>106550314.27</v>
      </c>
    </row>
    <row r="12" spans="1:15" ht="23.25" customHeight="1">
      <c r="A12" s="168" t="s">
        <v>275</v>
      </c>
      <c r="B12" s="22" t="s">
        <v>149</v>
      </c>
      <c r="C12" s="22" t="s">
        <v>276</v>
      </c>
      <c r="D12" s="22"/>
      <c r="E12" s="22"/>
      <c r="F12" s="22"/>
      <c r="G12" s="22"/>
      <c r="H12" s="22"/>
      <c r="I12" s="124">
        <f>I13+I15+I24+I22</f>
        <v>-73238.44000000002</v>
      </c>
      <c r="J12" s="124">
        <f>J13+J15+J24+J22</f>
        <v>41170009.68</v>
      </c>
      <c r="M12" s="265">
        <v>41243248.120000005</v>
      </c>
      <c r="N12" s="234"/>
      <c r="O12" s="234">
        <f t="shared" si="0"/>
        <v>41170009.68000001</v>
      </c>
    </row>
    <row r="13" spans="1:15" ht="53.25" customHeight="1">
      <c r="A13" s="168" t="s">
        <v>243</v>
      </c>
      <c r="B13" s="22" t="s">
        <v>149</v>
      </c>
      <c r="C13" s="22" t="s">
        <v>124</v>
      </c>
      <c r="D13" s="22"/>
      <c r="E13" s="22"/>
      <c r="F13" s="22"/>
      <c r="G13" s="22"/>
      <c r="H13" s="22"/>
      <c r="I13" s="232">
        <f>I14</f>
        <v>0</v>
      </c>
      <c r="J13" s="124">
        <f>J14</f>
        <v>1782910.48</v>
      </c>
      <c r="M13" s="265">
        <v>1782910.48</v>
      </c>
      <c r="N13" s="234"/>
      <c r="O13" s="234">
        <f t="shared" si="0"/>
        <v>1782910.48</v>
      </c>
    </row>
    <row r="14" spans="1:15" ht="98.25" customHeight="1">
      <c r="A14" s="60" t="s">
        <v>541</v>
      </c>
      <c r="B14" s="21" t="s">
        <v>149</v>
      </c>
      <c r="C14" s="21" t="s">
        <v>124</v>
      </c>
      <c r="D14" s="21" t="s">
        <v>115</v>
      </c>
      <c r="E14" s="21" t="s">
        <v>60</v>
      </c>
      <c r="F14" s="21" t="s">
        <v>69</v>
      </c>
      <c r="G14" s="21" t="s">
        <v>482</v>
      </c>
      <c r="H14" s="21" t="s">
        <v>159</v>
      </c>
      <c r="I14" s="479"/>
      <c r="J14" s="429">
        <f>1039476+313922+429512.48</f>
        <v>1782910.48</v>
      </c>
      <c r="M14" s="265">
        <v>1782910.48</v>
      </c>
      <c r="N14" s="234"/>
      <c r="O14" s="234">
        <f t="shared" si="0"/>
        <v>1782910.48</v>
      </c>
    </row>
    <row r="15" spans="1:15" ht="31.5" customHeight="1">
      <c r="A15" s="168" t="s">
        <v>277</v>
      </c>
      <c r="B15" s="22" t="s">
        <v>149</v>
      </c>
      <c r="C15" s="22" t="s">
        <v>278</v>
      </c>
      <c r="D15" s="22"/>
      <c r="E15" s="22"/>
      <c r="F15" s="22"/>
      <c r="G15" s="22"/>
      <c r="H15" s="22"/>
      <c r="I15" s="124">
        <f>SUM(I16:I21)</f>
        <v>120132.57999999999</v>
      </c>
      <c r="J15" s="124">
        <f>SUM(J16:J21)</f>
        <v>22786701.07</v>
      </c>
      <c r="M15" s="265">
        <v>22666568.490000002</v>
      </c>
      <c r="N15" s="234"/>
      <c r="O15" s="234">
        <f t="shared" si="0"/>
        <v>22786701.07</v>
      </c>
    </row>
    <row r="16" spans="1:15" ht="98.25" customHeight="1">
      <c r="A16" s="60" t="s">
        <v>478</v>
      </c>
      <c r="B16" s="21" t="s">
        <v>149</v>
      </c>
      <c r="C16" s="21" t="s">
        <v>278</v>
      </c>
      <c r="D16" s="21" t="s">
        <v>115</v>
      </c>
      <c r="E16" s="21" t="s">
        <v>60</v>
      </c>
      <c r="F16" s="21" t="s">
        <v>115</v>
      </c>
      <c r="G16" s="21" t="s">
        <v>481</v>
      </c>
      <c r="H16" s="21" t="s">
        <v>159</v>
      </c>
      <c r="I16" s="129">
        <f>92267.73+27864.85</f>
        <v>120132.57999999999</v>
      </c>
      <c r="J16" s="169">
        <v>20527161.28</v>
      </c>
      <c r="M16" s="265">
        <v>20407028.700000003</v>
      </c>
      <c r="N16" s="234"/>
      <c r="O16" s="234">
        <f t="shared" si="0"/>
        <v>20527161.28</v>
      </c>
    </row>
    <row r="17" spans="1:15" ht="48.75" customHeight="1">
      <c r="A17" s="60" t="s">
        <v>579</v>
      </c>
      <c r="B17" s="21" t="s">
        <v>149</v>
      </c>
      <c r="C17" s="21" t="s">
        <v>278</v>
      </c>
      <c r="D17" s="21" t="s">
        <v>115</v>
      </c>
      <c r="E17" s="21" t="s">
        <v>60</v>
      </c>
      <c r="F17" s="21" t="s">
        <v>115</v>
      </c>
      <c r="G17" s="21" t="s">
        <v>481</v>
      </c>
      <c r="H17" s="21" t="s">
        <v>160</v>
      </c>
      <c r="I17" s="129"/>
      <c r="J17" s="114">
        <v>1754400.49</v>
      </c>
      <c r="M17" s="265">
        <v>1754400.49</v>
      </c>
      <c r="N17" s="234"/>
      <c r="O17" s="234">
        <f t="shared" si="0"/>
        <v>1754400.49</v>
      </c>
    </row>
    <row r="18" spans="1:15" ht="47.25" customHeight="1">
      <c r="A18" s="60" t="s">
        <v>973</v>
      </c>
      <c r="B18" s="21" t="s">
        <v>149</v>
      </c>
      <c r="C18" s="21" t="s">
        <v>278</v>
      </c>
      <c r="D18" s="21" t="s">
        <v>115</v>
      </c>
      <c r="E18" s="21" t="s">
        <v>60</v>
      </c>
      <c r="F18" s="21" t="s">
        <v>115</v>
      </c>
      <c r="G18" s="21" t="s">
        <v>481</v>
      </c>
      <c r="H18" s="21" t="s">
        <v>107</v>
      </c>
      <c r="I18" s="129"/>
      <c r="J18" s="114">
        <v>0</v>
      </c>
      <c r="M18" s="265">
        <v>0</v>
      </c>
      <c r="N18" s="234"/>
      <c r="O18" s="234">
        <f t="shared" si="0"/>
        <v>0</v>
      </c>
    </row>
    <row r="19" spans="1:15" ht="35.25" customHeight="1">
      <c r="A19" s="60" t="s">
        <v>347</v>
      </c>
      <c r="B19" s="21" t="s">
        <v>149</v>
      </c>
      <c r="C19" s="21" t="s">
        <v>278</v>
      </c>
      <c r="D19" s="21" t="s">
        <v>115</v>
      </c>
      <c r="E19" s="21" t="s">
        <v>60</v>
      </c>
      <c r="F19" s="21" t="s">
        <v>115</v>
      </c>
      <c r="G19" s="21" t="s">
        <v>481</v>
      </c>
      <c r="H19" s="21" t="s">
        <v>161</v>
      </c>
      <c r="I19" s="129"/>
      <c r="J19" s="169">
        <v>58000</v>
      </c>
      <c r="M19" s="265">
        <v>58000</v>
      </c>
      <c r="N19" s="234"/>
      <c r="O19" s="234">
        <f t="shared" si="0"/>
        <v>58000</v>
      </c>
    </row>
    <row r="20" spans="1:15" ht="33" customHeight="1">
      <c r="A20" s="156" t="s">
        <v>546</v>
      </c>
      <c r="B20" s="112" t="s">
        <v>149</v>
      </c>
      <c r="C20" s="112" t="s">
        <v>278</v>
      </c>
      <c r="D20" s="112">
        <v>11</v>
      </c>
      <c r="E20" s="112" t="s">
        <v>68</v>
      </c>
      <c r="F20" s="112" t="s">
        <v>115</v>
      </c>
      <c r="G20" s="112" t="s">
        <v>483</v>
      </c>
      <c r="H20" s="112" t="s">
        <v>159</v>
      </c>
      <c r="I20" s="176"/>
      <c r="J20" s="114">
        <v>433501</v>
      </c>
      <c r="M20" s="265">
        <v>433501</v>
      </c>
      <c r="N20" s="234"/>
      <c r="O20" s="234">
        <f t="shared" si="0"/>
        <v>433501</v>
      </c>
    </row>
    <row r="21" spans="1:15" ht="66.75" customHeight="1">
      <c r="A21" s="156" t="s">
        <v>588</v>
      </c>
      <c r="B21" s="112" t="s">
        <v>149</v>
      </c>
      <c r="C21" s="112" t="s">
        <v>278</v>
      </c>
      <c r="D21" s="112">
        <v>11</v>
      </c>
      <c r="E21" s="112" t="s">
        <v>68</v>
      </c>
      <c r="F21" s="112" t="s">
        <v>115</v>
      </c>
      <c r="G21" s="112" t="s">
        <v>483</v>
      </c>
      <c r="H21" s="112" t="s">
        <v>160</v>
      </c>
      <c r="I21" s="176"/>
      <c r="J21" s="114">
        <v>13638.299999999985</v>
      </c>
      <c r="M21" s="265">
        <v>13638.299999999985</v>
      </c>
      <c r="N21" s="234"/>
      <c r="O21" s="234">
        <f t="shared" si="0"/>
        <v>13638.299999999985</v>
      </c>
    </row>
    <row r="22" spans="1:15" ht="17.25" customHeight="1">
      <c r="A22" s="160" t="s">
        <v>603</v>
      </c>
      <c r="B22" s="117" t="s">
        <v>149</v>
      </c>
      <c r="C22" s="117" t="s">
        <v>258</v>
      </c>
      <c r="D22" s="117"/>
      <c r="E22" s="117"/>
      <c r="F22" s="117"/>
      <c r="G22" s="117"/>
      <c r="H22" s="117"/>
      <c r="I22" s="232">
        <f>I23</f>
        <v>-2875.77</v>
      </c>
      <c r="J22" s="124">
        <f>J23</f>
        <v>3481.97</v>
      </c>
      <c r="M22" s="265">
        <v>6357.74</v>
      </c>
      <c r="N22" s="234"/>
      <c r="O22" s="234">
        <f t="shared" si="0"/>
        <v>3481.97</v>
      </c>
    </row>
    <row r="23" spans="1:15" ht="65.25" customHeight="1">
      <c r="A23" s="156" t="s">
        <v>1540</v>
      </c>
      <c r="B23" s="112" t="s">
        <v>149</v>
      </c>
      <c r="C23" s="112" t="s">
        <v>258</v>
      </c>
      <c r="D23" s="112" t="s">
        <v>538</v>
      </c>
      <c r="E23" s="112" t="s">
        <v>114</v>
      </c>
      <c r="F23" s="112" t="s">
        <v>489</v>
      </c>
      <c r="G23" s="112" t="s">
        <v>539</v>
      </c>
      <c r="H23" s="112" t="s">
        <v>160</v>
      </c>
      <c r="I23" s="176">
        <v>-2875.77</v>
      </c>
      <c r="J23" s="114">
        <v>3481.97</v>
      </c>
      <c r="M23" s="265">
        <v>6357.74</v>
      </c>
      <c r="N23" s="234"/>
      <c r="O23" s="234">
        <f t="shared" si="0"/>
        <v>3481.97</v>
      </c>
    </row>
    <row r="24" spans="1:15" ht="15.75">
      <c r="A24" s="168" t="s">
        <v>306</v>
      </c>
      <c r="B24" s="22" t="s">
        <v>149</v>
      </c>
      <c r="C24" s="22" t="s">
        <v>307</v>
      </c>
      <c r="D24" s="22"/>
      <c r="E24" s="22"/>
      <c r="F24" s="22"/>
      <c r="G24" s="22"/>
      <c r="H24" s="22"/>
      <c r="I24" s="480">
        <f>SUM(I25:I54)</f>
        <v>-190495.25</v>
      </c>
      <c r="J24" s="172">
        <f>SUM(J25:J54)</f>
        <v>16596916.16</v>
      </c>
      <c r="M24" s="265">
        <v>16787411.41</v>
      </c>
      <c r="N24" s="234"/>
      <c r="O24" s="234">
        <f t="shared" si="0"/>
        <v>16596916.16</v>
      </c>
    </row>
    <row r="25" spans="1:15" ht="102" customHeight="1">
      <c r="A25" s="189" t="s">
        <v>931</v>
      </c>
      <c r="B25" s="112" t="s">
        <v>149</v>
      </c>
      <c r="C25" s="112" t="s">
        <v>307</v>
      </c>
      <c r="D25" s="112" t="s">
        <v>115</v>
      </c>
      <c r="E25" s="112" t="s">
        <v>139</v>
      </c>
      <c r="F25" s="112" t="s">
        <v>69</v>
      </c>
      <c r="G25" s="112" t="s">
        <v>549</v>
      </c>
      <c r="H25" s="112" t="s">
        <v>159</v>
      </c>
      <c r="I25" s="176"/>
      <c r="J25" s="169">
        <f>2994885+904456+24998</f>
        <v>3924339</v>
      </c>
      <c r="M25" s="265">
        <v>3924339</v>
      </c>
      <c r="N25" s="234"/>
      <c r="O25" s="234">
        <f t="shared" si="0"/>
        <v>3924339</v>
      </c>
    </row>
    <row r="26" spans="1:15" ht="63">
      <c r="A26" s="189" t="s">
        <v>929</v>
      </c>
      <c r="B26" s="112" t="s">
        <v>149</v>
      </c>
      <c r="C26" s="112" t="s">
        <v>307</v>
      </c>
      <c r="D26" s="112" t="s">
        <v>115</v>
      </c>
      <c r="E26" s="112" t="s">
        <v>139</v>
      </c>
      <c r="F26" s="112" t="s">
        <v>69</v>
      </c>
      <c r="G26" s="112" t="s">
        <v>549</v>
      </c>
      <c r="H26" s="112" t="s">
        <v>160</v>
      </c>
      <c r="I26" s="176">
        <v>45000</v>
      </c>
      <c r="J26" s="169">
        <v>3489781.14</v>
      </c>
      <c r="M26" s="265">
        <v>3444781.14</v>
      </c>
      <c r="N26" s="234"/>
      <c r="O26" s="234">
        <f t="shared" si="0"/>
        <v>3489781.14</v>
      </c>
    </row>
    <row r="27" spans="1:15" ht="47.25">
      <c r="A27" s="189" t="s">
        <v>930</v>
      </c>
      <c r="B27" s="112" t="s">
        <v>149</v>
      </c>
      <c r="C27" s="112" t="s">
        <v>307</v>
      </c>
      <c r="D27" s="112" t="s">
        <v>115</v>
      </c>
      <c r="E27" s="112" t="s">
        <v>139</v>
      </c>
      <c r="F27" s="112" t="s">
        <v>69</v>
      </c>
      <c r="G27" s="112" t="s">
        <v>549</v>
      </c>
      <c r="H27" s="112" t="s">
        <v>161</v>
      </c>
      <c r="I27" s="176"/>
      <c r="J27" s="169">
        <v>131425</v>
      </c>
      <c r="M27" s="265">
        <v>131425</v>
      </c>
      <c r="N27" s="234"/>
      <c r="O27" s="234">
        <f t="shared" si="0"/>
        <v>131425</v>
      </c>
    </row>
    <row r="28" spans="1:15" ht="63">
      <c r="A28" s="156" t="s">
        <v>587</v>
      </c>
      <c r="B28" s="112" t="s">
        <v>149</v>
      </c>
      <c r="C28" s="112" t="s">
        <v>307</v>
      </c>
      <c r="D28" s="112">
        <v>11</v>
      </c>
      <c r="E28" s="112" t="s">
        <v>68</v>
      </c>
      <c r="F28" s="112" t="s">
        <v>115</v>
      </c>
      <c r="G28" s="112" t="s">
        <v>484</v>
      </c>
      <c r="H28" s="112" t="s">
        <v>160</v>
      </c>
      <c r="I28" s="176"/>
      <c r="J28" s="169">
        <v>10492</v>
      </c>
      <c r="M28" s="265">
        <v>10492</v>
      </c>
      <c r="N28" s="234"/>
      <c r="O28" s="234">
        <f t="shared" si="0"/>
        <v>10492</v>
      </c>
    </row>
    <row r="29" spans="1:15" ht="49.5" customHeight="1">
      <c r="A29" s="156" t="s">
        <v>1502</v>
      </c>
      <c r="B29" s="177">
        <v>900</v>
      </c>
      <c r="C29" s="178" t="s">
        <v>307</v>
      </c>
      <c r="D29" s="178" t="s">
        <v>59</v>
      </c>
      <c r="E29" s="178" t="s">
        <v>224</v>
      </c>
      <c r="F29" s="178" t="s">
        <v>69</v>
      </c>
      <c r="G29" s="178" t="s">
        <v>1501</v>
      </c>
      <c r="H29" s="178" t="s">
        <v>160</v>
      </c>
      <c r="I29" s="176"/>
      <c r="J29" s="181">
        <v>126000</v>
      </c>
      <c r="M29" s="265">
        <v>126000</v>
      </c>
      <c r="N29" s="234"/>
      <c r="O29" s="234">
        <f t="shared" si="0"/>
        <v>126000</v>
      </c>
    </row>
    <row r="30" spans="1:15" ht="63">
      <c r="A30" s="156" t="s">
        <v>585</v>
      </c>
      <c r="B30" s="112" t="s">
        <v>149</v>
      </c>
      <c r="C30" s="112" t="s">
        <v>307</v>
      </c>
      <c r="D30" s="112" t="s">
        <v>115</v>
      </c>
      <c r="E30" s="112" t="s">
        <v>60</v>
      </c>
      <c r="F30" s="112" t="s">
        <v>233</v>
      </c>
      <c r="G30" s="112" t="s">
        <v>485</v>
      </c>
      <c r="H30" s="112" t="s">
        <v>160</v>
      </c>
      <c r="I30" s="176"/>
      <c r="J30" s="114">
        <v>627264</v>
      </c>
      <c r="M30" s="265">
        <v>627264</v>
      </c>
      <c r="N30" s="234"/>
      <c r="O30" s="234">
        <f t="shared" si="0"/>
        <v>627264</v>
      </c>
    </row>
    <row r="31" spans="1:15" ht="63">
      <c r="A31" s="156" t="s">
        <v>584</v>
      </c>
      <c r="B31" s="112" t="s">
        <v>149</v>
      </c>
      <c r="C31" s="112" t="s">
        <v>307</v>
      </c>
      <c r="D31" s="112" t="s">
        <v>115</v>
      </c>
      <c r="E31" s="112" t="s">
        <v>60</v>
      </c>
      <c r="F31" s="112" t="s">
        <v>115</v>
      </c>
      <c r="G31" s="112" t="s">
        <v>486</v>
      </c>
      <c r="H31" s="112" t="s">
        <v>160</v>
      </c>
      <c r="I31" s="176"/>
      <c r="J31" s="169">
        <v>295800</v>
      </c>
      <c r="M31" s="265">
        <v>295800</v>
      </c>
      <c r="N31" s="234"/>
      <c r="O31" s="234">
        <f t="shared" si="0"/>
        <v>295800</v>
      </c>
    </row>
    <row r="32" spans="1:15" ht="47.25">
      <c r="A32" s="156" t="s">
        <v>606</v>
      </c>
      <c r="B32" s="177">
        <v>900</v>
      </c>
      <c r="C32" s="178" t="s">
        <v>307</v>
      </c>
      <c r="D32" s="178" t="s">
        <v>115</v>
      </c>
      <c r="E32" s="178" t="s">
        <v>60</v>
      </c>
      <c r="F32" s="178" t="s">
        <v>115</v>
      </c>
      <c r="G32" s="178" t="s">
        <v>1217</v>
      </c>
      <c r="H32" s="178" t="s">
        <v>107</v>
      </c>
      <c r="I32" s="176"/>
      <c r="J32" s="169">
        <v>9000</v>
      </c>
      <c r="M32" s="265">
        <v>9000</v>
      </c>
      <c r="N32" s="234"/>
      <c r="O32" s="234">
        <f t="shared" si="0"/>
        <v>9000</v>
      </c>
    </row>
    <row r="33" spans="1:15" ht="78.75">
      <c r="A33" s="157" t="s">
        <v>600</v>
      </c>
      <c r="B33" s="112" t="s">
        <v>149</v>
      </c>
      <c r="C33" s="112" t="s">
        <v>307</v>
      </c>
      <c r="D33" s="112" t="s">
        <v>69</v>
      </c>
      <c r="E33" s="112" t="s">
        <v>68</v>
      </c>
      <c r="F33" s="112" t="s">
        <v>69</v>
      </c>
      <c r="G33" s="112" t="s">
        <v>487</v>
      </c>
      <c r="H33" s="112" t="s">
        <v>160</v>
      </c>
      <c r="I33" s="176"/>
      <c r="J33" s="169">
        <v>699596.66</v>
      </c>
      <c r="M33" s="265">
        <v>699596.66</v>
      </c>
      <c r="N33" s="234"/>
      <c r="O33" s="234">
        <f t="shared" si="0"/>
        <v>699596.66</v>
      </c>
    </row>
    <row r="34" spans="1:15" ht="94.5">
      <c r="A34" s="157" t="s">
        <v>647</v>
      </c>
      <c r="B34" s="112" t="s">
        <v>149</v>
      </c>
      <c r="C34" s="112" t="s">
        <v>307</v>
      </c>
      <c r="D34" s="112" t="s">
        <v>61</v>
      </c>
      <c r="E34" s="112" t="s">
        <v>60</v>
      </c>
      <c r="F34" s="112" t="s">
        <v>115</v>
      </c>
      <c r="G34" s="112" t="s">
        <v>662</v>
      </c>
      <c r="H34" s="112" t="s">
        <v>160</v>
      </c>
      <c r="I34" s="176"/>
      <c r="J34" s="114">
        <v>1843164</v>
      </c>
      <c r="M34" s="265">
        <v>1843164</v>
      </c>
      <c r="N34" s="234"/>
      <c r="O34" s="234">
        <f t="shared" si="0"/>
        <v>1843164</v>
      </c>
    </row>
    <row r="35" spans="1:15" ht="115.5" customHeight="1">
      <c r="A35" s="156" t="s">
        <v>917</v>
      </c>
      <c r="B35" s="112" t="s">
        <v>149</v>
      </c>
      <c r="C35" s="112" t="s">
        <v>307</v>
      </c>
      <c r="D35" s="112" t="s">
        <v>115</v>
      </c>
      <c r="E35" s="112" t="s">
        <v>68</v>
      </c>
      <c r="F35" s="112" t="s">
        <v>69</v>
      </c>
      <c r="G35" s="112" t="s">
        <v>488</v>
      </c>
      <c r="H35" s="112" t="s">
        <v>160</v>
      </c>
      <c r="I35" s="176"/>
      <c r="J35" s="169">
        <v>83000</v>
      </c>
      <c r="M35" s="265">
        <v>83000</v>
      </c>
      <c r="N35" s="234"/>
      <c r="O35" s="234">
        <f t="shared" si="0"/>
        <v>83000</v>
      </c>
    </row>
    <row r="36" spans="1:15" ht="47.25">
      <c r="A36" s="179" t="s">
        <v>610</v>
      </c>
      <c r="B36" s="112" t="s">
        <v>149</v>
      </c>
      <c r="C36" s="112" t="s">
        <v>307</v>
      </c>
      <c r="D36" s="112" t="s">
        <v>158</v>
      </c>
      <c r="E36" s="112" t="s">
        <v>114</v>
      </c>
      <c r="F36" s="112" t="s">
        <v>489</v>
      </c>
      <c r="G36" s="112" t="s">
        <v>490</v>
      </c>
      <c r="H36" s="112" t="s">
        <v>161</v>
      </c>
      <c r="I36" s="176"/>
      <c r="J36" s="169">
        <v>52460</v>
      </c>
      <c r="M36" s="265">
        <v>52460</v>
      </c>
      <c r="N36" s="234"/>
      <c r="O36" s="234">
        <f t="shared" si="0"/>
        <v>52460</v>
      </c>
    </row>
    <row r="37" spans="1:15" ht="84" customHeight="1">
      <c r="A37" s="156" t="s">
        <v>1558</v>
      </c>
      <c r="B37" s="112" t="s">
        <v>149</v>
      </c>
      <c r="C37" s="112" t="s">
        <v>307</v>
      </c>
      <c r="D37" s="112" t="s">
        <v>158</v>
      </c>
      <c r="E37" s="112" t="s">
        <v>114</v>
      </c>
      <c r="F37" s="112" t="s">
        <v>489</v>
      </c>
      <c r="G37" s="112" t="s">
        <v>1557</v>
      </c>
      <c r="H37" s="112" t="s">
        <v>160</v>
      </c>
      <c r="I37" s="176"/>
      <c r="J37" s="114">
        <v>898633.33</v>
      </c>
      <c r="M37" s="265">
        <v>898633.33</v>
      </c>
      <c r="N37" s="234"/>
      <c r="O37" s="234">
        <f t="shared" si="0"/>
        <v>898633.33</v>
      </c>
    </row>
    <row r="38" spans="1:15" ht="84" customHeight="1">
      <c r="A38" s="156" t="s">
        <v>1562</v>
      </c>
      <c r="B38" s="112" t="s">
        <v>149</v>
      </c>
      <c r="C38" s="112" t="s">
        <v>307</v>
      </c>
      <c r="D38" s="112" t="s">
        <v>158</v>
      </c>
      <c r="E38" s="112" t="s">
        <v>114</v>
      </c>
      <c r="F38" s="112" t="s">
        <v>489</v>
      </c>
      <c r="G38" s="112" t="s">
        <v>1561</v>
      </c>
      <c r="H38" s="112" t="s">
        <v>160</v>
      </c>
      <c r="I38" s="176"/>
      <c r="J38" s="114">
        <v>0</v>
      </c>
      <c r="M38" s="265">
        <v>0</v>
      </c>
      <c r="N38" s="234"/>
      <c r="O38" s="234">
        <f t="shared" si="0"/>
        <v>0</v>
      </c>
    </row>
    <row r="39" spans="1:15" ht="84" customHeight="1">
      <c r="A39" s="156" t="s">
        <v>1601</v>
      </c>
      <c r="B39" s="112" t="s">
        <v>149</v>
      </c>
      <c r="C39" s="112" t="s">
        <v>307</v>
      </c>
      <c r="D39" s="112" t="s">
        <v>158</v>
      </c>
      <c r="E39" s="112" t="s">
        <v>114</v>
      </c>
      <c r="F39" s="112" t="s">
        <v>489</v>
      </c>
      <c r="G39" s="112" t="s">
        <v>1561</v>
      </c>
      <c r="H39" s="112" t="s">
        <v>939</v>
      </c>
      <c r="I39" s="176"/>
      <c r="J39" s="114">
        <v>101000</v>
      </c>
      <c r="M39" s="265">
        <v>101000</v>
      </c>
      <c r="N39" s="234"/>
      <c r="O39" s="234">
        <f t="shared" si="0"/>
        <v>101000</v>
      </c>
    </row>
    <row r="40" spans="1:15" ht="65.25" customHeight="1">
      <c r="A40" s="156" t="s">
        <v>1563</v>
      </c>
      <c r="B40" s="112" t="s">
        <v>149</v>
      </c>
      <c r="C40" s="112" t="s">
        <v>307</v>
      </c>
      <c r="D40" s="112" t="s">
        <v>158</v>
      </c>
      <c r="E40" s="112" t="s">
        <v>114</v>
      </c>
      <c r="F40" s="112" t="s">
        <v>489</v>
      </c>
      <c r="G40" s="112" t="s">
        <v>1561</v>
      </c>
      <c r="H40" s="112" t="s">
        <v>161</v>
      </c>
      <c r="I40" s="176"/>
      <c r="J40" s="114">
        <v>20200</v>
      </c>
      <c r="M40" s="265">
        <v>20200</v>
      </c>
      <c r="N40" s="234"/>
      <c r="O40" s="234">
        <f t="shared" si="0"/>
        <v>20200</v>
      </c>
    </row>
    <row r="41" spans="1:15" ht="110.25">
      <c r="A41" s="179" t="s">
        <v>956</v>
      </c>
      <c r="B41" s="112" t="s">
        <v>149</v>
      </c>
      <c r="C41" s="112" t="s">
        <v>307</v>
      </c>
      <c r="D41" s="112" t="s">
        <v>115</v>
      </c>
      <c r="E41" s="112" t="s">
        <v>224</v>
      </c>
      <c r="F41" s="112" t="s">
        <v>69</v>
      </c>
      <c r="G41" s="112" t="s">
        <v>491</v>
      </c>
      <c r="H41" s="112" t="s">
        <v>160</v>
      </c>
      <c r="I41" s="176"/>
      <c r="J41" s="169">
        <v>305386.45</v>
      </c>
      <c r="M41" s="265">
        <v>305386.45</v>
      </c>
      <c r="N41" s="234"/>
      <c r="O41" s="234">
        <f t="shared" si="0"/>
        <v>305386.45</v>
      </c>
    </row>
    <row r="42" spans="1:15" ht="47.25">
      <c r="A42" s="156" t="s">
        <v>591</v>
      </c>
      <c r="B42" s="112" t="s">
        <v>149</v>
      </c>
      <c r="C42" s="112" t="s">
        <v>307</v>
      </c>
      <c r="D42" s="112" t="s">
        <v>61</v>
      </c>
      <c r="E42" s="112" t="s">
        <v>60</v>
      </c>
      <c r="F42" s="112" t="s">
        <v>115</v>
      </c>
      <c r="G42" s="112" t="s">
        <v>628</v>
      </c>
      <c r="H42" s="112" t="s">
        <v>160</v>
      </c>
      <c r="I42" s="176">
        <v>-115836</v>
      </c>
      <c r="J42" s="114">
        <v>0</v>
      </c>
      <c r="M42" s="265">
        <v>115836</v>
      </c>
      <c r="N42" s="234"/>
      <c r="O42" s="234">
        <f t="shared" si="0"/>
        <v>0</v>
      </c>
    </row>
    <row r="43" spans="1:15" ht="78.75">
      <c r="A43" s="156" t="s">
        <v>622</v>
      </c>
      <c r="B43" s="112" t="s">
        <v>149</v>
      </c>
      <c r="C43" s="112" t="s">
        <v>307</v>
      </c>
      <c r="D43" s="112" t="s">
        <v>158</v>
      </c>
      <c r="E43" s="112" t="s">
        <v>114</v>
      </c>
      <c r="F43" s="112" t="s">
        <v>489</v>
      </c>
      <c r="G43" s="112" t="s">
        <v>623</v>
      </c>
      <c r="H43" s="112" t="s">
        <v>160</v>
      </c>
      <c r="I43" s="176">
        <v>-119659.25</v>
      </c>
      <c r="J43" s="114">
        <v>0</v>
      </c>
      <c r="M43" s="265">
        <v>119659.25</v>
      </c>
      <c r="N43" s="234"/>
      <c r="O43" s="234">
        <f t="shared" si="0"/>
        <v>0</v>
      </c>
    </row>
    <row r="44" spans="1:15" ht="63">
      <c r="A44" s="156" t="s">
        <v>882</v>
      </c>
      <c r="B44" s="112" t="s">
        <v>149</v>
      </c>
      <c r="C44" s="112" t="s">
        <v>307</v>
      </c>
      <c r="D44" s="112" t="s">
        <v>158</v>
      </c>
      <c r="E44" s="112" t="s">
        <v>114</v>
      </c>
      <c r="F44" s="112" t="s">
        <v>489</v>
      </c>
      <c r="G44" s="112" t="s">
        <v>928</v>
      </c>
      <c r="H44" s="112" t="s">
        <v>160</v>
      </c>
      <c r="I44" s="176"/>
      <c r="J44" s="114">
        <v>1016533.33</v>
      </c>
      <c r="M44" s="265">
        <v>1016533.33</v>
      </c>
      <c r="N44" s="234"/>
      <c r="O44" s="234">
        <f t="shared" si="0"/>
        <v>1016533.33</v>
      </c>
    </row>
    <row r="45" spans="1:15" ht="87.75" customHeight="1">
      <c r="A45" s="157" t="s">
        <v>942</v>
      </c>
      <c r="B45" s="112" t="s">
        <v>149</v>
      </c>
      <c r="C45" s="112" t="s">
        <v>307</v>
      </c>
      <c r="D45" s="112">
        <v>11</v>
      </c>
      <c r="E45" s="112" t="s">
        <v>60</v>
      </c>
      <c r="F45" s="112" t="s">
        <v>115</v>
      </c>
      <c r="G45" s="112" t="s">
        <v>675</v>
      </c>
      <c r="H45" s="112" t="s">
        <v>159</v>
      </c>
      <c r="I45" s="176"/>
      <c r="J45" s="114">
        <v>15000</v>
      </c>
      <c r="M45" s="265">
        <v>15000</v>
      </c>
      <c r="N45" s="234"/>
      <c r="O45" s="234">
        <f t="shared" si="0"/>
        <v>15000</v>
      </c>
    </row>
    <row r="46" spans="1:15" ht="78.75">
      <c r="A46" s="157" t="s">
        <v>943</v>
      </c>
      <c r="B46" s="112" t="s">
        <v>149</v>
      </c>
      <c r="C46" s="112" t="s">
        <v>307</v>
      </c>
      <c r="D46" s="112">
        <v>11</v>
      </c>
      <c r="E46" s="112" t="s">
        <v>60</v>
      </c>
      <c r="F46" s="112" t="s">
        <v>115</v>
      </c>
      <c r="G46" s="112" t="s">
        <v>944</v>
      </c>
      <c r="H46" s="112" t="s">
        <v>160</v>
      </c>
      <c r="I46" s="176"/>
      <c r="J46" s="114">
        <v>5000</v>
      </c>
      <c r="M46" s="265">
        <v>5000</v>
      </c>
      <c r="N46" s="234"/>
      <c r="O46" s="234">
        <f t="shared" si="0"/>
        <v>5000</v>
      </c>
    </row>
    <row r="47" spans="1:15" ht="78.75">
      <c r="A47" s="157" t="s">
        <v>913</v>
      </c>
      <c r="B47" s="112" t="s">
        <v>149</v>
      </c>
      <c r="C47" s="112" t="s">
        <v>307</v>
      </c>
      <c r="D47" s="112">
        <v>11</v>
      </c>
      <c r="E47" s="112" t="s">
        <v>60</v>
      </c>
      <c r="F47" s="112" t="s">
        <v>115</v>
      </c>
      <c r="G47" s="112" t="s">
        <v>918</v>
      </c>
      <c r="H47" s="112" t="s">
        <v>160</v>
      </c>
      <c r="I47" s="176"/>
      <c r="J47" s="114">
        <v>37400</v>
      </c>
      <c r="M47" s="265">
        <v>37400</v>
      </c>
      <c r="N47" s="234"/>
      <c r="O47" s="234">
        <f t="shared" si="0"/>
        <v>37400</v>
      </c>
    </row>
    <row r="48" spans="1:15" ht="47.25">
      <c r="A48" s="156" t="s">
        <v>1008</v>
      </c>
      <c r="B48" s="112" t="s">
        <v>149</v>
      </c>
      <c r="C48" s="112" t="s">
        <v>307</v>
      </c>
      <c r="D48" s="112">
        <v>11</v>
      </c>
      <c r="E48" s="112" t="s">
        <v>68</v>
      </c>
      <c r="F48" s="112" t="s">
        <v>115</v>
      </c>
      <c r="G48" s="112" t="s">
        <v>676</v>
      </c>
      <c r="H48" s="112" t="s">
        <v>160</v>
      </c>
      <c r="I48" s="176"/>
      <c r="J48" s="114">
        <v>10000</v>
      </c>
      <c r="M48" s="265">
        <v>10000</v>
      </c>
      <c r="N48" s="234"/>
      <c r="O48" s="234">
        <f t="shared" si="0"/>
        <v>10000</v>
      </c>
    </row>
    <row r="49" spans="1:15" ht="63">
      <c r="A49" s="156" t="s">
        <v>976</v>
      </c>
      <c r="B49" s="112" t="s">
        <v>149</v>
      </c>
      <c r="C49" s="112" t="s">
        <v>307</v>
      </c>
      <c r="D49" s="112">
        <v>11</v>
      </c>
      <c r="E49" s="112" t="s">
        <v>68</v>
      </c>
      <c r="F49" s="112" t="s">
        <v>115</v>
      </c>
      <c r="G49" s="112" t="s">
        <v>966</v>
      </c>
      <c r="H49" s="112" t="s">
        <v>160</v>
      </c>
      <c r="I49" s="176"/>
      <c r="J49" s="169">
        <v>12240</v>
      </c>
      <c r="M49" s="265">
        <v>12240</v>
      </c>
      <c r="N49" s="234"/>
      <c r="O49" s="234">
        <f t="shared" si="0"/>
        <v>12240</v>
      </c>
    </row>
    <row r="50" spans="1:15" ht="187.5" customHeight="1">
      <c r="A50" s="156" t="s">
        <v>609</v>
      </c>
      <c r="B50" s="112" t="s">
        <v>149</v>
      </c>
      <c r="C50" s="112" t="s">
        <v>307</v>
      </c>
      <c r="D50" s="112" t="s">
        <v>158</v>
      </c>
      <c r="E50" s="112" t="s">
        <v>114</v>
      </c>
      <c r="F50" s="112" t="s">
        <v>489</v>
      </c>
      <c r="G50" s="112" t="s">
        <v>608</v>
      </c>
      <c r="H50" s="112" t="s">
        <v>161</v>
      </c>
      <c r="I50" s="176"/>
      <c r="J50" s="169">
        <v>0</v>
      </c>
      <c r="M50" s="265">
        <v>0</v>
      </c>
      <c r="N50" s="234"/>
      <c r="O50" s="234">
        <f t="shared" si="0"/>
        <v>0</v>
      </c>
    </row>
    <row r="51" spans="1:15" ht="60" customHeight="1">
      <c r="A51" s="156" t="s">
        <v>1547</v>
      </c>
      <c r="B51" s="112" t="s">
        <v>149</v>
      </c>
      <c r="C51" s="112" t="s">
        <v>307</v>
      </c>
      <c r="D51" s="112" t="s">
        <v>158</v>
      </c>
      <c r="E51" s="112" t="s">
        <v>114</v>
      </c>
      <c r="F51" s="112" t="s">
        <v>489</v>
      </c>
      <c r="G51" s="112" t="s">
        <v>1546</v>
      </c>
      <c r="H51" s="112" t="s">
        <v>160</v>
      </c>
      <c r="I51" s="176"/>
      <c r="J51" s="169">
        <v>310167</v>
      </c>
      <c r="M51" s="265">
        <v>310167</v>
      </c>
      <c r="N51" s="234"/>
      <c r="O51" s="234">
        <f t="shared" si="0"/>
        <v>310167</v>
      </c>
    </row>
    <row r="52" spans="1:15" ht="110.25">
      <c r="A52" s="156" t="s">
        <v>970</v>
      </c>
      <c r="B52" s="112" t="s">
        <v>149</v>
      </c>
      <c r="C52" s="112" t="s">
        <v>307</v>
      </c>
      <c r="D52" s="112">
        <v>11</v>
      </c>
      <c r="E52" s="112" t="s">
        <v>224</v>
      </c>
      <c r="F52" s="112" t="s">
        <v>69</v>
      </c>
      <c r="G52" s="112" t="s">
        <v>972</v>
      </c>
      <c r="H52" s="112" t="s">
        <v>159</v>
      </c>
      <c r="I52" s="176"/>
      <c r="J52" s="169">
        <f>2430927.45+49996.8</f>
        <v>2480924.25</v>
      </c>
      <c r="M52" s="265">
        <v>2480924.25</v>
      </c>
      <c r="N52" s="234"/>
      <c r="O52" s="234">
        <f t="shared" si="0"/>
        <v>2480924.25</v>
      </c>
    </row>
    <row r="53" spans="1:15" ht="63">
      <c r="A53" s="156" t="s">
        <v>969</v>
      </c>
      <c r="B53" s="112" t="s">
        <v>149</v>
      </c>
      <c r="C53" s="112" t="s">
        <v>307</v>
      </c>
      <c r="D53" s="112">
        <v>11</v>
      </c>
      <c r="E53" s="112" t="s">
        <v>224</v>
      </c>
      <c r="F53" s="112" t="s">
        <v>69</v>
      </c>
      <c r="G53" s="112" t="s">
        <v>972</v>
      </c>
      <c r="H53" s="112" t="s">
        <v>160</v>
      </c>
      <c r="I53" s="176"/>
      <c r="J53" s="183">
        <v>92110</v>
      </c>
      <c r="M53" s="265">
        <v>92110</v>
      </c>
      <c r="N53" s="234"/>
      <c r="O53" s="234">
        <f t="shared" si="0"/>
        <v>92110</v>
      </c>
    </row>
    <row r="54" spans="1:15" ht="47.25">
      <c r="A54" s="156" t="s">
        <v>971</v>
      </c>
      <c r="B54" s="112" t="s">
        <v>149</v>
      </c>
      <c r="C54" s="112" t="s">
        <v>307</v>
      </c>
      <c r="D54" s="112">
        <v>11</v>
      </c>
      <c r="E54" s="112" t="s">
        <v>224</v>
      </c>
      <c r="F54" s="112" t="s">
        <v>69</v>
      </c>
      <c r="G54" s="112" t="s">
        <v>972</v>
      </c>
      <c r="H54" s="112" t="s">
        <v>161</v>
      </c>
      <c r="I54" s="176"/>
      <c r="J54" s="169">
        <v>0</v>
      </c>
      <c r="M54" s="265">
        <v>0</v>
      </c>
      <c r="N54" s="234"/>
      <c r="O54" s="234">
        <f t="shared" si="0"/>
        <v>0</v>
      </c>
    </row>
    <row r="55" spans="1:15" ht="31.5">
      <c r="A55" s="168" t="s">
        <v>91</v>
      </c>
      <c r="B55" s="22" t="s">
        <v>149</v>
      </c>
      <c r="C55" s="22" t="s">
        <v>92</v>
      </c>
      <c r="D55" s="22"/>
      <c r="E55" s="22"/>
      <c r="F55" s="22"/>
      <c r="G55" s="22"/>
      <c r="H55" s="22"/>
      <c r="I55" s="232">
        <f>I56</f>
        <v>0</v>
      </c>
      <c r="J55" s="124">
        <f>J56</f>
        <v>350000</v>
      </c>
      <c r="M55" s="265">
        <v>350000</v>
      </c>
      <c r="N55" s="234"/>
      <c r="O55" s="234">
        <f t="shared" si="0"/>
        <v>350000</v>
      </c>
    </row>
    <row r="56" spans="1:15" ht="47.25">
      <c r="A56" s="168" t="s">
        <v>242</v>
      </c>
      <c r="B56" s="22" t="s">
        <v>149</v>
      </c>
      <c r="C56" s="22" t="s">
        <v>93</v>
      </c>
      <c r="D56" s="22"/>
      <c r="E56" s="22"/>
      <c r="F56" s="22"/>
      <c r="G56" s="22"/>
      <c r="H56" s="22"/>
      <c r="I56" s="232">
        <f>I57</f>
        <v>0</v>
      </c>
      <c r="J56" s="124">
        <f>J57</f>
        <v>350000</v>
      </c>
      <c r="M56" s="265">
        <v>350000</v>
      </c>
      <c r="N56" s="234"/>
      <c r="O56" s="234">
        <f t="shared" si="0"/>
        <v>350000</v>
      </c>
    </row>
    <row r="57" spans="1:15" ht="63">
      <c r="A57" s="60" t="s">
        <v>586</v>
      </c>
      <c r="B57" s="21" t="s">
        <v>149</v>
      </c>
      <c r="C57" s="21" t="s">
        <v>93</v>
      </c>
      <c r="D57" s="21">
        <v>11</v>
      </c>
      <c r="E57" s="21" t="s">
        <v>68</v>
      </c>
      <c r="F57" s="21" t="s">
        <v>115</v>
      </c>
      <c r="G57" s="21" t="s">
        <v>493</v>
      </c>
      <c r="H57" s="21" t="s">
        <v>160</v>
      </c>
      <c r="I57" s="129"/>
      <c r="J57" s="114">
        <v>350000</v>
      </c>
      <c r="M57" s="265">
        <v>350000</v>
      </c>
      <c r="N57" s="234"/>
      <c r="O57" s="234">
        <f t="shared" si="0"/>
        <v>350000</v>
      </c>
    </row>
    <row r="58" spans="1:15" ht="15.75">
      <c r="A58" s="168" t="s">
        <v>94</v>
      </c>
      <c r="B58" s="22" t="s">
        <v>149</v>
      </c>
      <c r="C58" s="22" t="s">
        <v>95</v>
      </c>
      <c r="D58" s="22"/>
      <c r="E58" s="22"/>
      <c r="F58" s="22"/>
      <c r="G58" s="22"/>
      <c r="H58" s="22"/>
      <c r="I58" s="480">
        <f>I59+I63+I73</f>
        <v>-474534.6</v>
      </c>
      <c r="J58" s="172">
        <f>J59+J63+J73</f>
        <v>18253669.13</v>
      </c>
      <c r="M58" s="265">
        <v>18728203.73</v>
      </c>
      <c r="N58" s="234"/>
      <c r="O58" s="234">
        <f t="shared" si="0"/>
        <v>18253669.13</v>
      </c>
    </row>
    <row r="59" spans="1:15" ht="15.75">
      <c r="A59" s="168" t="s">
        <v>668</v>
      </c>
      <c r="B59" s="22" t="s">
        <v>149</v>
      </c>
      <c r="C59" s="22" t="s">
        <v>667</v>
      </c>
      <c r="D59" s="22"/>
      <c r="E59" s="22"/>
      <c r="F59" s="22"/>
      <c r="G59" s="22"/>
      <c r="H59" s="22"/>
      <c r="I59" s="480">
        <f>I60+I62+I61</f>
        <v>-474534.6</v>
      </c>
      <c r="J59" s="480">
        <f>J60+J62+J61</f>
        <v>201798.66</v>
      </c>
      <c r="M59" s="265">
        <v>676333.26</v>
      </c>
      <c r="N59" s="234"/>
      <c r="O59" s="234">
        <f t="shared" si="0"/>
        <v>201798.66000000003</v>
      </c>
    </row>
    <row r="60" spans="1:15" ht="94.5">
      <c r="A60" s="156" t="s">
        <v>1359</v>
      </c>
      <c r="B60" s="112" t="s">
        <v>149</v>
      </c>
      <c r="C60" s="112" t="s">
        <v>667</v>
      </c>
      <c r="D60" s="112" t="s">
        <v>158</v>
      </c>
      <c r="E60" s="112" t="s">
        <v>114</v>
      </c>
      <c r="F60" s="112" t="s">
        <v>489</v>
      </c>
      <c r="G60" s="112" t="s">
        <v>669</v>
      </c>
      <c r="H60" s="112" t="s">
        <v>160</v>
      </c>
      <c r="I60" s="176"/>
      <c r="J60" s="169">
        <v>61406.66</v>
      </c>
      <c r="M60" s="265">
        <v>61406.66</v>
      </c>
      <c r="N60" s="234"/>
      <c r="O60" s="234">
        <f t="shared" si="0"/>
        <v>61406.66</v>
      </c>
    </row>
    <row r="61" spans="1:15" ht="74.25" customHeight="1">
      <c r="A61" s="157" t="s">
        <v>1542</v>
      </c>
      <c r="B61" s="112" t="s">
        <v>149</v>
      </c>
      <c r="C61" s="112" t="s">
        <v>667</v>
      </c>
      <c r="D61" s="112" t="s">
        <v>58</v>
      </c>
      <c r="E61" s="112" t="s">
        <v>68</v>
      </c>
      <c r="F61" s="112" t="s">
        <v>58</v>
      </c>
      <c r="G61" s="112" t="s">
        <v>1545</v>
      </c>
      <c r="H61" s="112" t="s">
        <v>160</v>
      </c>
      <c r="I61" s="176">
        <v>-474534.6</v>
      </c>
      <c r="J61" s="169">
        <v>0</v>
      </c>
      <c r="M61" s="265">
        <v>474534.6</v>
      </c>
      <c r="N61" s="234"/>
      <c r="O61" s="234">
        <f t="shared" si="0"/>
        <v>0</v>
      </c>
    </row>
    <row r="62" spans="1:15" ht="157.5">
      <c r="A62" s="156" t="s">
        <v>599</v>
      </c>
      <c r="B62" s="112" t="s">
        <v>149</v>
      </c>
      <c r="C62" s="112" t="s">
        <v>667</v>
      </c>
      <c r="D62" s="112" t="s">
        <v>158</v>
      </c>
      <c r="E62" s="112" t="s">
        <v>114</v>
      </c>
      <c r="F62" s="112" t="s">
        <v>489</v>
      </c>
      <c r="G62" s="112" t="s">
        <v>725</v>
      </c>
      <c r="H62" s="112" t="s">
        <v>160</v>
      </c>
      <c r="I62" s="176"/>
      <c r="J62" s="169">
        <v>140392</v>
      </c>
      <c r="M62" s="265">
        <v>140392</v>
      </c>
      <c r="N62" s="234"/>
      <c r="O62" s="234">
        <f t="shared" si="0"/>
        <v>140392</v>
      </c>
    </row>
    <row r="63" spans="1:15" ht="15.75">
      <c r="A63" s="168" t="s">
        <v>56</v>
      </c>
      <c r="B63" s="22" t="s">
        <v>149</v>
      </c>
      <c r="C63" s="22" t="s">
        <v>96</v>
      </c>
      <c r="D63" s="22"/>
      <c r="E63" s="22"/>
      <c r="F63" s="22"/>
      <c r="G63" s="22"/>
      <c r="H63" s="22"/>
      <c r="I63" s="232">
        <f>SUM(I64:I72)</f>
        <v>0</v>
      </c>
      <c r="J63" s="124">
        <f>SUM(J64:J72)</f>
        <v>17293870.47</v>
      </c>
      <c r="M63" s="265">
        <v>17293870.47</v>
      </c>
      <c r="N63" s="234"/>
      <c r="O63" s="234">
        <f t="shared" si="0"/>
        <v>17293870.47</v>
      </c>
    </row>
    <row r="64" spans="1:15" ht="72" customHeight="1">
      <c r="A64" s="190" t="s">
        <v>873</v>
      </c>
      <c r="B64" s="21" t="s">
        <v>149</v>
      </c>
      <c r="C64" s="21" t="s">
        <v>96</v>
      </c>
      <c r="D64" s="21" t="s">
        <v>233</v>
      </c>
      <c r="E64" s="21" t="s">
        <v>68</v>
      </c>
      <c r="F64" s="21" t="s">
        <v>69</v>
      </c>
      <c r="G64" s="21" t="s">
        <v>494</v>
      </c>
      <c r="H64" s="21" t="s">
        <v>160</v>
      </c>
      <c r="I64" s="129"/>
      <c r="J64" s="114">
        <v>3472834.67</v>
      </c>
      <c r="M64" s="265">
        <v>3472834.67</v>
      </c>
      <c r="N64" s="234"/>
      <c r="O64" s="234">
        <f t="shared" si="0"/>
        <v>3472834.67</v>
      </c>
    </row>
    <row r="65" spans="1:15" ht="51" customHeight="1">
      <c r="A65" s="190" t="s">
        <v>874</v>
      </c>
      <c r="B65" s="21" t="s">
        <v>149</v>
      </c>
      <c r="C65" s="21" t="s">
        <v>96</v>
      </c>
      <c r="D65" s="21" t="s">
        <v>233</v>
      </c>
      <c r="E65" s="21" t="s">
        <v>68</v>
      </c>
      <c r="F65" s="21" t="s">
        <v>69</v>
      </c>
      <c r="G65" s="21" t="s">
        <v>919</v>
      </c>
      <c r="H65" s="21" t="s">
        <v>160</v>
      </c>
      <c r="I65" s="129">
        <v>-55490.23</v>
      </c>
      <c r="J65" s="114">
        <v>2711869.64</v>
      </c>
      <c r="M65" s="265">
        <v>2767359.87</v>
      </c>
      <c r="N65" s="234"/>
      <c r="O65" s="234">
        <f t="shared" si="0"/>
        <v>2711869.64</v>
      </c>
    </row>
    <row r="66" spans="1:15" ht="47.25">
      <c r="A66" s="190" t="s">
        <v>889</v>
      </c>
      <c r="B66" s="21" t="s">
        <v>149</v>
      </c>
      <c r="C66" s="21" t="s">
        <v>96</v>
      </c>
      <c r="D66" s="21" t="s">
        <v>233</v>
      </c>
      <c r="E66" s="21" t="s">
        <v>68</v>
      </c>
      <c r="F66" s="21" t="s">
        <v>69</v>
      </c>
      <c r="G66" s="21" t="s">
        <v>920</v>
      </c>
      <c r="H66" s="21" t="s">
        <v>160</v>
      </c>
      <c r="I66" s="129"/>
      <c r="J66" s="114">
        <v>0</v>
      </c>
      <c r="M66" s="265">
        <v>0</v>
      </c>
      <c r="N66" s="234"/>
      <c r="O66" s="234">
        <f t="shared" si="0"/>
        <v>0</v>
      </c>
    </row>
    <row r="67" spans="1:15" ht="80.25" customHeight="1">
      <c r="A67" s="190" t="s">
        <v>1607</v>
      </c>
      <c r="B67" s="21" t="s">
        <v>149</v>
      </c>
      <c r="C67" s="21" t="s">
        <v>96</v>
      </c>
      <c r="D67" s="21" t="s">
        <v>233</v>
      </c>
      <c r="E67" s="21" t="s">
        <v>68</v>
      </c>
      <c r="F67" s="21" t="s">
        <v>69</v>
      </c>
      <c r="G67" s="21" t="s">
        <v>921</v>
      </c>
      <c r="H67" s="21" t="s">
        <v>160</v>
      </c>
      <c r="I67" s="129">
        <v>55490.23</v>
      </c>
      <c r="J67" s="114">
        <v>195490.23</v>
      </c>
      <c r="M67" s="265">
        <v>140000</v>
      </c>
      <c r="N67" s="190" t="s">
        <v>948</v>
      </c>
      <c r="O67" s="234">
        <f t="shared" si="0"/>
        <v>195490.23</v>
      </c>
    </row>
    <row r="68" spans="1:15" ht="241.5" customHeight="1">
      <c r="A68" s="179" t="s">
        <v>732</v>
      </c>
      <c r="B68" s="112" t="s">
        <v>149</v>
      </c>
      <c r="C68" s="112" t="s">
        <v>96</v>
      </c>
      <c r="D68" s="112" t="s">
        <v>233</v>
      </c>
      <c r="E68" s="112" t="s">
        <v>68</v>
      </c>
      <c r="F68" s="112" t="s">
        <v>69</v>
      </c>
      <c r="G68" s="112" t="s">
        <v>731</v>
      </c>
      <c r="H68" s="112" t="s">
        <v>53</v>
      </c>
      <c r="I68" s="176"/>
      <c r="J68" s="114">
        <v>3176489.1</v>
      </c>
      <c r="M68" s="265">
        <v>3176489.1</v>
      </c>
      <c r="N68" s="234"/>
      <c r="O68" s="234">
        <f t="shared" si="0"/>
        <v>3176489.1</v>
      </c>
    </row>
    <row r="69" spans="1:15" ht="47.25">
      <c r="A69" s="179" t="s">
        <v>875</v>
      </c>
      <c r="B69" s="112" t="s">
        <v>149</v>
      </c>
      <c r="C69" s="112" t="s">
        <v>96</v>
      </c>
      <c r="D69" s="112" t="s">
        <v>233</v>
      </c>
      <c r="E69" s="112" t="s">
        <v>60</v>
      </c>
      <c r="F69" s="112" t="s">
        <v>69</v>
      </c>
      <c r="G69" s="112" t="s">
        <v>619</v>
      </c>
      <c r="H69" s="112" t="s">
        <v>160</v>
      </c>
      <c r="I69" s="176"/>
      <c r="J69" s="183">
        <v>50000</v>
      </c>
      <c r="M69" s="265">
        <v>50000</v>
      </c>
      <c r="N69" s="234"/>
      <c r="O69" s="234">
        <f t="shared" si="0"/>
        <v>50000</v>
      </c>
    </row>
    <row r="70" spans="1:15" ht="78.75">
      <c r="A70" s="179" t="s">
        <v>1078</v>
      </c>
      <c r="B70" s="112" t="s">
        <v>149</v>
      </c>
      <c r="C70" s="112" t="s">
        <v>96</v>
      </c>
      <c r="D70" s="112" t="s">
        <v>233</v>
      </c>
      <c r="E70" s="112" t="s">
        <v>224</v>
      </c>
      <c r="F70" s="112" t="s">
        <v>69</v>
      </c>
      <c r="G70" s="112" t="s">
        <v>1080</v>
      </c>
      <c r="H70" s="112" t="s">
        <v>160</v>
      </c>
      <c r="I70" s="176"/>
      <c r="J70" s="114">
        <v>0</v>
      </c>
      <c r="M70" s="265">
        <v>0</v>
      </c>
      <c r="N70" s="234"/>
      <c r="O70" s="234">
        <f t="shared" si="0"/>
        <v>0</v>
      </c>
    </row>
    <row r="71" spans="1:15" ht="116.25" customHeight="1">
      <c r="A71" s="179" t="s">
        <v>1079</v>
      </c>
      <c r="B71" s="112" t="s">
        <v>149</v>
      </c>
      <c r="C71" s="112" t="s">
        <v>96</v>
      </c>
      <c r="D71" s="112" t="s">
        <v>233</v>
      </c>
      <c r="E71" s="112" t="s">
        <v>224</v>
      </c>
      <c r="F71" s="112" t="s">
        <v>69</v>
      </c>
      <c r="G71" s="112" t="s">
        <v>1081</v>
      </c>
      <c r="H71" s="112" t="s">
        <v>160</v>
      </c>
      <c r="I71" s="176"/>
      <c r="J71" s="176">
        <v>20000</v>
      </c>
      <c r="M71" s="265">
        <v>20000</v>
      </c>
      <c r="N71" s="234"/>
      <c r="O71" s="234">
        <f t="shared" si="0"/>
        <v>20000</v>
      </c>
    </row>
    <row r="72" spans="1:15" ht="110.25">
      <c r="A72" s="179" t="s">
        <v>1365</v>
      </c>
      <c r="B72" s="112" t="s">
        <v>149</v>
      </c>
      <c r="C72" s="112" t="s">
        <v>96</v>
      </c>
      <c r="D72" s="112" t="s">
        <v>233</v>
      </c>
      <c r="E72" s="112" t="s">
        <v>68</v>
      </c>
      <c r="F72" s="112" t="s">
        <v>69</v>
      </c>
      <c r="G72" s="112" t="s">
        <v>975</v>
      </c>
      <c r="H72" s="112" t="s">
        <v>160</v>
      </c>
      <c r="I72" s="176"/>
      <c r="J72" s="114">
        <f>7667186.83-7590514.96+7590514.96</f>
        <v>7667186.83</v>
      </c>
      <c r="M72" s="265">
        <v>7667186.83</v>
      </c>
      <c r="N72" s="234"/>
      <c r="O72" s="234">
        <f t="shared" si="0"/>
        <v>7667186.83</v>
      </c>
    </row>
    <row r="73" spans="1:15" ht="15.75">
      <c r="A73" s="168" t="s">
        <v>97</v>
      </c>
      <c r="B73" s="22" t="s">
        <v>149</v>
      </c>
      <c r="C73" s="22" t="s">
        <v>98</v>
      </c>
      <c r="D73" s="22"/>
      <c r="E73" s="22"/>
      <c r="F73" s="22"/>
      <c r="G73" s="22"/>
      <c r="H73" s="22"/>
      <c r="I73" s="232">
        <f>SUM(I74:I81)</f>
        <v>0</v>
      </c>
      <c r="J73" s="124">
        <f>SUM(J74:J81)</f>
        <v>758000</v>
      </c>
      <c r="M73" s="265">
        <v>758000</v>
      </c>
      <c r="N73" s="234"/>
      <c r="O73" s="234">
        <f t="shared" si="0"/>
        <v>758000</v>
      </c>
    </row>
    <row r="74" spans="1:15" ht="94.5">
      <c r="A74" s="122" t="s">
        <v>578</v>
      </c>
      <c r="B74" s="21" t="s">
        <v>149</v>
      </c>
      <c r="C74" s="21" t="s">
        <v>98</v>
      </c>
      <c r="D74" s="21" t="s">
        <v>69</v>
      </c>
      <c r="E74" s="21" t="s">
        <v>60</v>
      </c>
      <c r="F74" s="21" t="s">
        <v>69</v>
      </c>
      <c r="G74" s="21" t="s">
        <v>495</v>
      </c>
      <c r="H74" s="21" t="s">
        <v>160</v>
      </c>
      <c r="I74" s="129"/>
      <c r="J74" s="114">
        <v>300000</v>
      </c>
      <c r="M74" s="265">
        <v>300000</v>
      </c>
      <c r="N74" s="234"/>
      <c r="O74" s="234">
        <f t="shared" si="0"/>
        <v>300000</v>
      </c>
    </row>
    <row r="75" spans="1:15" ht="47.25">
      <c r="A75" s="60" t="s">
        <v>601</v>
      </c>
      <c r="B75" s="21" t="s">
        <v>149</v>
      </c>
      <c r="C75" s="21" t="s">
        <v>98</v>
      </c>
      <c r="D75" s="21" t="s">
        <v>57</v>
      </c>
      <c r="E75" s="21" t="s">
        <v>68</v>
      </c>
      <c r="F75" s="21" t="s">
        <v>69</v>
      </c>
      <c r="G75" s="21" t="s">
        <v>496</v>
      </c>
      <c r="H75" s="21" t="s">
        <v>160</v>
      </c>
      <c r="I75" s="129"/>
      <c r="J75" s="169">
        <v>10000</v>
      </c>
      <c r="M75" s="265">
        <v>10000</v>
      </c>
      <c r="N75" s="234"/>
      <c r="O75" s="234">
        <f aca="true" t="shared" si="1" ref="O75:O97">M75+I75</f>
        <v>10000</v>
      </c>
    </row>
    <row r="76" spans="1:15" ht="47.25">
      <c r="A76" s="59" t="s">
        <v>1272</v>
      </c>
      <c r="B76" s="21" t="s">
        <v>149</v>
      </c>
      <c r="C76" s="21" t="s">
        <v>98</v>
      </c>
      <c r="D76" s="21" t="s">
        <v>57</v>
      </c>
      <c r="E76" s="21" t="s">
        <v>68</v>
      </c>
      <c r="F76" s="21" t="s">
        <v>69</v>
      </c>
      <c r="G76" s="21" t="s">
        <v>497</v>
      </c>
      <c r="H76" s="21" t="s">
        <v>160</v>
      </c>
      <c r="I76" s="129"/>
      <c r="J76" s="169">
        <v>20000</v>
      </c>
      <c r="M76" s="265">
        <v>20000</v>
      </c>
      <c r="N76" s="234"/>
      <c r="O76" s="234">
        <f t="shared" si="1"/>
        <v>20000</v>
      </c>
    </row>
    <row r="77" spans="1:15" ht="63">
      <c r="A77" s="60" t="s">
        <v>589</v>
      </c>
      <c r="B77" s="21" t="s">
        <v>149</v>
      </c>
      <c r="C77" s="21" t="s">
        <v>98</v>
      </c>
      <c r="D77" s="21" t="s">
        <v>57</v>
      </c>
      <c r="E77" s="21" t="s">
        <v>68</v>
      </c>
      <c r="F77" s="21" t="s">
        <v>69</v>
      </c>
      <c r="G77" s="21" t="s">
        <v>498</v>
      </c>
      <c r="H77" s="21" t="s">
        <v>160</v>
      </c>
      <c r="I77" s="129"/>
      <c r="J77" s="114">
        <v>0</v>
      </c>
      <c r="M77" s="265">
        <v>0</v>
      </c>
      <c r="N77" s="234"/>
      <c r="O77" s="234">
        <f t="shared" si="1"/>
        <v>0</v>
      </c>
    </row>
    <row r="78" spans="1:15" ht="47.25">
      <c r="A78" s="60" t="s">
        <v>613</v>
      </c>
      <c r="B78" s="21" t="s">
        <v>149</v>
      </c>
      <c r="C78" s="21" t="s">
        <v>98</v>
      </c>
      <c r="D78" s="21" t="s">
        <v>57</v>
      </c>
      <c r="E78" s="21" t="s">
        <v>68</v>
      </c>
      <c r="F78" s="21" t="s">
        <v>115</v>
      </c>
      <c r="G78" s="21" t="s">
        <v>612</v>
      </c>
      <c r="H78" s="21" t="s">
        <v>161</v>
      </c>
      <c r="I78" s="129"/>
      <c r="J78" s="114">
        <v>258000</v>
      </c>
      <c r="M78" s="265">
        <v>258000</v>
      </c>
      <c r="N78" s="234"/>
      <c r="O78" s="234">
        <f t="shared" si="1"/>
        <v>258000</v>
      </c>
    </row>
    <row r="79" spans="1:15" ht="145.5" customHeight="1">
      <c r="A79" s="59" t="s">
        <v>1273</v>
      </c>
      <c r="B79" s="21" t="s">
        <v>149</v>
      </c>
      <c r="C79" s="21" t="s">
        <v>98</v>
      </c>
      <c r="D79" s="21" t="s">
        <v>57</v>
      </c>
      <c r="E79" s="21" t="s">
        <v>68</v>
      </c>
      <c r="F79" s="21" t="s">
        <v>115</v>
      </c>
      <c r="G79" s="21" t="s">
        <v>922</v>
      </c>
      <c r="H79" s="21" t="s">
        <v>161</v>
      </c>
      <c r="I79" s="129"/>
      <c r="J79" s="114">
        <v>170000</v>
      </c>
      <c r="M79" s="265">
        <v>170000</v>
      </c>
      <c r="N79" s="234"/>
      <c r="O79" s="234">
        <f t="shared" si="1"/>
        <v>170000</v>
      </c>
    </row>
    <row r="80" spans="1:15" ht="78.75">
      <c r="A80" s="60" t="s">
        <v>1178</v>
      </c>
      <c r="B80" s="21" t="s">
        <v>149</v>
      </c>
      <c r="C80" s="21" t="s">
        <v>98</v>
      </c>
      <c r="D80" s="21" t="s">
        <v>57</v>
      </c>
      <c r="E80" s="21" t="s">
        <v>60</v>
      </c>
      <c r="F80" s="21" t="s">
        <v>69</v>
      </c>
      <c r="G80" s="21" t="s">
        <v>1175</v>
      </c>
      <c r="H80" s="21" t="s">
        <v>160</v>
      </c>
      <c r="I80" s="129"/>
      <c r="J80" s="79">
        <v>0</v>
      </c>
      <c r="M80" s="265">
        <v>0</v>
      </c>
      <c r="N80" s="234"/>
      <c r="O80" s="234">
        <f t="shared" si="1"/>
        <v>0</v>
      </c>
    </row>
    <row r="81" spans="1:15" ht="94.5">
      <c r="A81" s="60" t="s">
        <v>1179</v>
      </c>
      <c r="B81" s="21" t="s">
        <v>149</v>
      </c>
      <c r="C81" s="21" t="s">
        <v>98</v>
      </c>
      <c r="D81" s="21" t="s">
        <v>57</v>
      </c>
      <c r="E81" s="21" t="s">
        <v>60</v>
      </c>
      <c r="F81" s="21" t="s">
        <v>69</v>
      </c>
      <c r="G81" s="21" t="s">
        <v>1176</v>
      </c>
      <c r="H81" s="21" t="s">
        <v>160</v>
      </c>
      <c r="I81" s="129"/>
      <c r="J81" s="79">
        <v>0</v>
      </c>
      <c r="M81" s="265">
        <v>0</v>
      </c>
      <c r="N81" s="234"/>
      <c r="O81" s="234">
        <f t="shared" si="1"/>
        <v>0</v>
      </c>
    </row>
    <row r="82" spans="1:15" ht="15.75">
      <c r="A82" s="168" t="s">
        <v>37</v>
      </c>
      <c r="B82" s="22" t="s">
        <v>149</v>
      </c>
      <c r="C82" s="22" t="s">
        <v>38</v>
      </c>
      <c r="D82" s="22"/>
      <c r="E82" s="22"/>
      <c r="F82" s="22"/>
      <c r="G82" s="22"/>
      <c r="H82" s="22"/>
      <c r="I82" s="232">
        <f>I83+I87+I94</f>
        <v>3408818.12</v>
      </c>
      <c r="J82" s="124">
        <f>J83+J87+J94</f>
        <v>22193194.61</v>
      </c>
      <c r="M82" s="265">
        <v>18784376.490000002</v>
      </c>
      <c r="N82" s="234"/>
      <c r="O82" s="234">
        <f t="shared" si="1"/>
        <v>22193194.610000003</v>
      </c>
    </row>
    <row r="83" spans="1:15" ht="15.75">
      <c r="A83" s="170" t="s">
        <v>129</v>
      </c>
      <c r="B83" s="28">
        <v>900</v>
      </c>
      <c r="C83" s="29" t="s">
        <v>130</v>
      </c>
      <c r="D83" s="29"/>
      <c r="E83" s="29"/>
      <c r="F83" s="29"/>
      <c r="G83" s="29"/>
      <c r="H83" s="29"/>
      <c r="I83" s="481">
        <f>SUM(I84:I86)</f>
        <v>0</v>
      </c>
      <c r="J83" s="182">
        <f>SUM(J84:J86)</f>
        <v>2978103.62</v>
      </c>
      <c r="M83" s="265">
        <v>2978103.62</v>
      </c>
      <c r="N83" s="234"/>
      <c r="O83" s="234">
        <f t="shared" si="1"/>
        <v>2978103.62</v>
      </c>
    </row>
    <row r="84" spans="1:15" ht="47.25">
      <c r="A84" s="60" t="s">
        <v>629</v>
      </c>
      <c r="B84" s="61">
        <v>900</v>
      </c>
      <c r="C84" s="62" t="s">
        <v>130</v>
      </c>
      <c r="D84" s="62" t="s">
        <v>61</v>
      </c>
      <c r="E84" s="62" t="s">
        <v>139</v>
      </c>
      <c r="F84" s="62" t="s">
        <v>69</v>
      </c>
      <c r="G84" s="62" t="s">
        <v>663</v>
      </c>
      <c r="H84" s="62" t="s">
        <v>160</v>
      </c>
      <c r="I84" s="129"/>
      <c r="J84" s="181">
        <v>1235573.6</v>
      </c>
      <c r="M84" s="265">
        <v>1235573.6</v>
      </c>
      <c r="N84" s="234"/>
      <c r="O84" s="234">
        <f t="shared" si="1"/>
        <v>1235573.6</v>
      </c>
    </row>
    <row r="85" spans="1:15" ht="63">
      <c r="A85" s="60" t="s">
        <v>1004</v>
      </c>
      <c r="B85" s="61">
        <v>900</v>
      </c>
      <c r="C85" s="62" t="s">
        <v>130</v>
      </c>
      <c r="D85" s="62" t="s">
        <v>61</v>
      </c>
      <c r="E85" s="62" t="s">
        <v>139</v>
      </c>
      <c r="F85" s="62" t="s">
        <v>69</v>
      </c>
      <c r="G85" s="62" t="s">
        <v>1003</v>
      </c>
      <c r="H85" s="62" t="s">
        <v>160</v>
      </c>
      <c r="I85" s="129"/>
      <c r="J85" s="181">
        <v>1546853.1</v>
      </c>
      <c r="M85" s="265">
        <v>1546853.1</v>
      </c>
      <c r="N85" s="234"/>
      <c r="O85" s="234">
        <f t="shared" si="1"/>
        <v>1546853.1</v>
      </c>
    </row>
    <row r="86" spans="1:15" ht="78.75">
      <c r="A86" s="188" t="s">
        <v>1009</v>
      </c>
      <c r="B86" s="61">
        <v>900</v>
      </c>
      <c r="C86" s="62" t="s">
        <v>130</v>
      </c>
      <c r="D86" s="62" t="s">
        <v>61</v>
      </c>
      <c r="E86" s="62" t="s">
        <v>139</v>
      </c>
      <c r="F86" s="62" t="s">
        <v>69</v>
      </c>
      <c r="G86" s="62" t="s">
        <v>1076</v>
      </c>
      <c r="H86" s="62" t="s">
        <v>161</v>
      </c>
      <c r="I86" s="129"/>
      <c r="J86" s="181">
        <v>195676.92</v>
      </c>
      <c r="M86" s="265">
        <v>195676.92</v>
      </c>
      <c r="N86" s="234"/>
      <c r="O86" s="234">
        <f t="shared" si="1"/>
        <v>195676.92</v>
      </c>
    </row>
    <row r="87" spans="1:15" ht="15.75">
      <c r="A87" s="168" t="s">
        <v>131</v>
      </c>
      <c r="B87" s="22" t="s">
        <v>149</v>
      </c>
      <c r="C87" s="22" t="s">
        <v>132</v>
      </c>
      <c r="D87" s="22"/>
      <c r="E87" s="22"/>
      <c r="F87" s="22"/>
      <c r="G87" s="22"/>
      <c r="H87" s="22"/>
      <c r="I87" s="232">
        <f>SUM(I88:I93)</f>
        <v>-537090.6799999999</v>
      </c>
      <c r="J87" s="124">
        <f>SUM(J88:J93)</f>
        <v>3755712.19</v>
      </c>
      <c r="M87" s="265">
        <v>4292802.87</v>
      </c>
      <c r="N87" s="234"/>
      <c r="O87" s="234">
        <f t="shared" si="1"/>
        <v>3755712.1900000004</v>
      </c>
    </row>
    <row r="88" spans="1:15" ht="50.25" customHeight="1">
      <c r="A88" s="60" t="s">
        <v>590</v>
      </c>
      <c r="B88" s="21" t="s">
        <v>149</v>
      </c>
      <c r="C88" s="21" t="s">
        <v>132</v>
      </c>
      <c r="D88" s="21" t="s">
        <v>61</v>
      </c>
      <c r="E88" s="21" t="s">
        <v>68</v>
      </c>
      <c r="F88" s="21" t="s">
        <v>69</v>
      </c>
      <c r="G88" s="21" t="s">
        <v>499</v>
      </c>
      <c r="H88" s="21" t="s">
        <v>160</v>
      </c>
      <c r="I88" s="129">
        <f>-53730.08-366180.6</f>
        <v>-419910.68</v>
      </c>
      <c r="J88" s="114">
        <v>2114817.27</v>
      </c>
      <c r="M88" s="265">
        <v>2534727.95</v>
      </c>
      <c r="N88" s="234"/>
      <c r="O88" s="234">
        <f t="shared" si="1"/>
        <v>2114817.27</v>
      </c>
    </row>
    <row r="89" spans="1:15" ht="50.25" customHeight="1">
      <c r="A89" s="60" t="s">
        <v>1548</v>
      </c>
      <c r="B89" s="21" t="s">
        <v>149</v>
      </c>
      <c r="C89" s="21" t="s">
        <v>132</v>
      </c>
      <c r="D89" s="21" t="s">
        <v>61</v>
      </c>
      <c r="E89" s="21" t="s">
        <v>68</v>
      </c>
      <c r="F89" s="21" t="s">
        <v>69</v>
      </c>
      <c r="G89" s="21" t="s">
        <v>499</v>
      </c>
      <c r="H89" s="21" t="s">
        <v>939</v>
      </c>
      <c r="I89" s="129"/>
      <c r="J89" s="129">
        <v>63497.29</v>
      </c>
      <c r="M89" s="265">
        <v>63497.29</v>
      </c>
      <c r="N89" s="234"/>
      <c r="O89" s="234">
        <f t="shared" si="1"/>
        <v>63497.29</v>
      </c>
    </row>
    <row r="90" spans="1:15" ht="81.75" customHeight="1">
      <c r="A90" s="105" t="s">
        <v>981</v>
      </c>
      <c r="B90" s="21" t="s">
        <v>149</v>
      </c>
      <c r="C90" s="21" t="s">
        <v>132</v>
      </c>
      <c r="D90" s="21" t="s">
        <v>58</v>
      </c>
      <c r="E90" s="21" t="s">
        <v>68</v>
      </c>
      <c r="F90" s="21" t="s">
        <v>233</v>
      </c>
      <c r="G90" s="112" t="s">
        <v>1366</v>
      </c>
      <c r="H90" s="21" t="s">
        <v>939</v>
      </c>
      <c r="I90" s="503"/>
      <c r="J90" s="129">
        <v>1173357.23</v>
      </c>
      <c r="K90" s="169"/>
      <c r="M90" s="265">
        <v>1173357.23</v>
      </c>
      <c r="N90" s="234"/>
      <c r="O90" s="234">
        <f t="shared" si="1"/>
        <v>1173357.23</v>
      </c>
    </row>
    <row r="91" spans="1:15" ht="147" customHeight="1">
      <c r="A91" s="105" t="s">
        <v>1597</v>
      </c>
      <c r="B91" s="21" t="s">
        <v>149</v>
      </c>
      <c r="C91" s="21" t="s">
        <v>132</v>
      </c>
      <c r="D91" s="21" t="s">
        <v>61</v>
      </c>
      <c r="E91" s="21" t="s">
        <v>68</v>
      </c>
      <c r="F91" s="21" t="s">
        <v>69</v>
      </c>
      <c r="G91" s="112" t="s">
        <v>1596</v>
      </c>
      <c r="H91" s="21" t="s">
        <v>939</v>
      </c>
      <c r="I91" s="503"/>
      <c r="J91" s="129">
        <v>404040.4</v>
      </c>
      <c r="K91" s="499"/>
      <c r="M91" s="265">
        <v>404040.4</v>
      </c>
      <c r="N91" s="234"/>
      <c r="O91" s="234">
        <f t="shared" si="1"/>
        <v>404040.4</v>
      </c>
    </row>
    <row r="92" spans="1:15" ht="78.75">
      <c r="A92" s="156" t="s">
        <v>1382</v>
      </c>
      <c r="B92" s="112" t="s">
        <v>149</v>
      </c>
      <c r="C92" s="112" t="s">
        <v>132</v>
      </c>
      <c r="D92" s="112" t="s">
        <v>61</v>
      </c>
      <c r="E92" s="112" t="s">
        <v>68</v>
      </c>
      <c r="F92" s="112" t="s">
        <v>69</v>
      </c>
      <c r="G92" s="112" t="s">
        <v>1362</v>
      </c>
      <c r="H92" s="112" t="s">
        <v>939</v>
      </c>
      <c r="I92" s="176"/>
      <c r="J92" s="114">
        <v>0</v>
      </c>
      <c r="M92" s="265">
        <v>0</v>
      </c>
      <c r="N92" s="234"/>
      <c r="O92" s="234">
        <f t="shared" si="1"/>
        <v>0</v>
      </c>
    </row>
    <row r="93" spans="1:15" ht="63">
      <c r="A93" s="60" t="s">
        <v>598</v>
      </c>
      <c r="B93" s="21" t="s">
        <v>149</v>
      </c>
      <c r="C93" s="21" t="s">
        <v>132</v>
      </c>
      <c r="D93" s="21" t="s">
        <v>158</v>
      </c>
      <c r="E93" s="21" t="s">
        <v>114</v>
      </c>
      <c r="F93" s="21" t="s">
        <v>489</v>
      </c>
      <c r="G93" s="21" t="s">
        <v>500</v>
      </c>
      <c r="H93" s="21" t="s">
        <v>160</v>
      </c>
      <c r="I93" s="129">
        <v>-117180</v>
      </c>
      <c r="J93" s="114">
        <v>0</v>
      </c>
      <c r="M93" s="265">
        <v>117180</v>
      </c>
      <c r="N93" s="234"/>
      <c r="O93" s="234">
        <f t="shared" si="1"/>
        <v>0</v>
      </c>
    </row>
    <row r="94" spans="1:15" ht="15.75">
      <c r="A94" s="168" t="s">
        <v>631</v>
      </c>
      <c r="B94" s="22" t="s">
        <v>149</v>
      </c>
      <c r="C94" s="22" t="s">
        <v>630</v>
      </c>
      <c r="D94" s="22"/>
      <c r="E94" s="22"/>
      <c r="F94" s="22"/>
      <c r="G94" s="22"/>
      <c r="H94" s="22"/>
      <c r="I94" s="232">
        <f>SUM(I95:I106)</f>
        <v>3945908.8</v>
      </c>
      <c r="J94" s="124">
        <f>SUM(J95:J106)</f>
        <v>15459378.799999999</v>
      </c>
      <c r="M94" s="265">
        <v>11513470</v>
      </c>
      <c r="N94" s="234"/>
      <c r="O94" s="234">
        <f t="shared" si="1"/>
        <v>15459378.8</v>
      </c>
    </row>
    <row r="95" spans="1:15" ht="64.5" customHeight="1">
      <c r="A95" s="60" t="s">
        <v>648</v>
      </c>
      <c r="B95" s="21" t="s">
        <v>149</v>
      </c>
      <c r="C95" s="21" t="s">
        <v>630</v>
      </c>
      <c r="D95" s="21" t="s">
        <v>61</v>
      </c>
      <c r="E95" s="21" t="s">
        <v>60</v>
      </c>
      <c r="F95" s="21" t="s">
        <v>69</v>
      </c>
      <c r="G95" s="21" t="s">
        <v>664</v>
      </c>
      <c r="H95" s="21" t="s">
        <v>160</v>
      </c>
      <c r="I95" s="129"/>
      <c r="J95" s="114">
        <v>1648520.4900000002</v>
      </c>
      <c r="M95" s="265">
        <v>1648520.4900000002</v>
      </c>
      <c r="N95" s="234"/>
      <c r="O95" s="234">
        <f t="shared" si="1"/>
        <v>1648520.4900000002</v>
      </c>
    </row>
    <row r="96" spans="1:15" ht="64.5" customHeight="1">
      <c r="A96" s="60" t="s">
        <v>1560</v>
      </c>
      <c r="B96" s="21" t="s">
        <v>149</v>
      </c>
      <c r="C96" s="21" t="s">
        <v>630</v>
      </c>
      <c r="D96" s="21" t="s">
        <v>61</v>
      </c>
      <c r="E96" s="21" t="s">
        <v>60</v>
      </c>
      <c r="F96" s="21" t="s">
        <v>69</v>
      </c>
      <c r="G96" s="21" t="s">
        <v>664</v>
      </c>
      <c r="H96" s="21" t="s">
        <v>939</v>
      </c>
      <c r="I96" s="129"/>
      <c r="J96" s="114">
        <v>4022355.26</v>
      </c>
      <c r="M96" s="265">
        <v>4022355.26</v>
      </c>
      <c r="N96" s="234"/>
      <c r="O96" s="234">
        <f t="shared" si="1"/>
        <v>4022355.26</v>
      </c>
    </row>
    <row r="97" spans="1:15" ht="64.5" customHeight="1">
      <c r="A97" s="60" t="s">
        <v>636</v>
      </c>
      <c r="B97" s="21" t="s">
        <v>149</v>
      </c>
      <c r="C97" s="21" t="s">
        <v>630</v>
      </c>
      <c r="D97" s="21" t="s">
        <v>61</v>
      </c>
      <c r="E97" s="21" t="s">
        <v>60</v>
      </c>
      <c r="F97" s="21" t="s">
        <v>69</v>
      </c>
      <c r="G97" s="21" t="s">
        <v>665</v>
      </c>
      <c r="H97" s="21" t="s">
        <v>160</v>
      </c>
      <c r="I97" s="129">
        <f>366180.6+53730.08+115836+119659.25+117180</f>
        <v>772585.9299999999</v>
      </c>
      <c r="J97" s="114">
        <v>4231939</v>
      </c>
      <c r="M97" s="265">
        <v>3459353.07</v>
      </c>
      <c r="N97" s="234"/>
      <c r="O97" s="234">
        <f t="shared" si="1"/>
        <v>4231939</v>
      </c>
    </row>
    <row r="98" spans="1:15" ht="64.5" customHeight="1">
      <c r="A98" s="60" t="s">
        <v>1605</v>
      </c>
      <c r="B98" s="21" t="s">
        <v>149</v>
      </c>
      <c r="C98" s="21" t="s">
        <v>630</v>
      </c>
      <c r="D98" s="21" t="s">
        <v>61</v>
      </c>
      <c r="E98" s="21" t="s">
        <v>90</v>
      </c>
      <c r="F98" s="21" t="s">
        <v>69</v>
      </c>
      <c r="G98" s="21" t="s">
        <v>1604</v>
      </c>
      <c r="H98" s="21" t="s">
        <v>160</v>
      </c>
      <c r="I98" s="129">
        <v>173322.87</v>
      </c>
      <c r="J98" s="129">
        <v>173322.87</v>
      </c>
      <c r="M98" s="265">
        <v>0</v>
      </c>
      <c r="N98" s="234"/>
      <c r="O98" s="234">
        <f>M98+I98</f>
        <v>173322.87</v>
      </c>
    </row>
    <row r="99" spans="1:15" ht="110.25">
      <c r="A99" s="60" t="s">
        <v>1153</v>
      </c>
      <c r="B99" s="21" t="s">
        <v>149</v>
      </c>
      <c r="C99" s="21" t="s">
        <v>630</v>
      </c>
      <c r="D99" s="21" t="s">
        <v>61</v>
      </c>
      <c r="E99" s="21" t="s">
        <v>60</v>
      </c>
      <c r="F99" s="21" t="s">
        <v>69</v>
      </c>
      <c r="G99" s="21" t="s">
        <v>1154</v>
      </c>
      <c r="H99" s="21" t="s">
        <v>161</v>
      </c>
      <c r="I99" s="129">
        <v>3000000</v>
      </c>
      <c r="J99" s="79">
        <v>3000000</v>
      </c>
      <c r="M99" s="265">
        <v>0</v>
      </c>
      <c r="N99" s="234"/>
      <c r="O99" s="234">
        <f aca="true" t="shared" si="2" ref="O99:O162">M99+I99</f>
        <v>3000000</v>
      </c>
    </row>
    <row r="100" spans="1:15" ht="63">
      <c r="A100" s="60" t="s">
        <v>1145</v>
      </c>
      <c r="B100" s="21" t="s">
        <v>149</v>
      </c>
      <c r="C100" s="21" t="s">
        <v>630</v>
      </c>
      <c r="D100" s="21" t="s">
        <v>61</v>
      </c>
      <c r="E100" s="21" t="s">
        <v>60</v>
      </c>
      <c r="F100" s="21" t="s">
        <v>69</v>
      </c>
      <c r="G100" s="21" t="s">
        <v>1148</v>
      </c>
      <c r="H100" s="21" t="s">
        <v>160</v>
      </c>
      <c r="I100" s="129"/>
      <c r="J100" s="79">
        <v>0</v>
      </c>
      <c r="M100" s="265">
        <v>0</v>
      </c>
      <c r="N100" s="234"/>
      <c r="O100" s="234">
        <f t="shared" si="2"/>
        <v>0</v>
      </c>
    </row>
    <row r="101" spans="1:15" ht="63">
      <c r="A101" s="60" t="s">
        <v>1146</v>
      </c>
      <c r="B101" s="21" t="s">
        <v>149</v>
      </c>
      <c r="C101" s="21" t="s">
        <v>630</v>
      </c>
      <c r="D101" s="21" t="s">
        <v>61</v>
      </c>
      <c r="E101" s="21" t="s">
        <v>60</v>
      </c>
      <c r="F101" s="21" t="s">
        <v>69</v>
      </c>
      <c r="G101" s="21" t="s">
        <v>1149</v>
      </c>
      <c r="H101" s="21" t="s">
        <v>160</v>
      </c>
      <c r="I101" s="129"/>
      <c r="J101" s="79">
        <v>0</v>
      </c>
      <c r="M101" s="265">
        <v>0</v>
      </c>
      <c r="N101" s="234"/>
      <c r="O101" s="234">
        <f t="shared" si="2"/>
        <v>0</v>
      </c>
    </row>
    <row r="102" spans="1:15" ht="63">
      <c r="A102" s="60" t="s">
        <v>1147</v>
      </c>
      <c r="B102" s="21" t="s">
        <v>149</v>
      </c>
      <c r="C102" s="21" t="s">
        <v>630</v>
      </c>
      <c r="D102" s="21" t="s">
        <v>61</v>
      </c>
      <c r="E102" s="21" t="s">
        <v>90</v>
      </c>
      <c r="F102" s="21" t="s">
        <v>69</v>
      </c>
      <c r="G102" s="21" t="s">
        <v>1150</v>
      </c>
      <c r="H102" s="21" t="s">
        <v>160</v>
      </c>
      <c r="I102" s="129"/>
      <c r="J102" s="79">
        <v>0</v>
      </c>
      <c r="M102" s="265">
        <v>0</v>
      </c>
      <c r="N102" s="234"/>
      <c r="O102" s="234">
        <f t="shared" si="2"/>
        <v>0</v>
      </c>
    </row>
    <row r="103" spans="1:15" ht="110.25">
      <c r="A103" s="156" t="s">
        <v>734</v>
      </c>
      <c r="B103" s="112" t="s">
        <v>149</v>
      </c>
      <c r="C103" s="112" t="s">
        <v>630</v>
      </c>
      <c r="D103" s="112" t="s">
        <v>61</v>
      </c>
      <c r="E103" s="112" t="s">
        <v>60</v>
      </c>
      <c r="F103" s="112" t="s">
        <v>69</v>
      </c>
      <c r="G103" s="112" t="s">
        <v>1228</v>
      </c>
      <c r="H103" s="112" t="s">
        <v>53</v>
      </c>
      <c r="I103" s="176"/>
      <c r="J103" s="114">
        <v>1320000</v>
      </c>
      <c r="M103" s="265">
        <v>1320000</v>
      </c>
      <c r="N103" s="234"/>
      <c r="O103" s="234">
        <f t="shared" si="2"/>
        <v>1320000</v>
      </c>
    </row>
    <row r="104" spans="1:15" ht="141.75">
      <c r="A104" s="156" t="s">
        <v>1215</v>
      </c>
      <c r="B104" s="112" t="s">
        <v>149</v>
      </c>
      <c r="C104" s="112" t="s">
        <v>630</v>
      </c>
      <c r="D104" s="112" t="s">
        <v>158</v>
      </c>
      <c r="E104" s="112" t="s">
        <v>114</v>
      </c>
      <c r="F104" s="112" t="s">
        <v>489</v>
      </c>
      <c r="G104" s="112" t="s">
        <v>1214</v>
      </c>
      <c r="H104" s="112" t="s">
        <v>161</v>
      </c>
      <c r="I104" s="176"/>
      <c r="J104" s="114">
        <v>69684.75</v>
      </c>
      <c r="M104" s="265">
        <v>69684.75</v>
      </c>
      <c r="N104" s="234"/>
      <c r="O104" s="234">
        <f t="shared" si="2"/>
        <v>69684.75</v>
      </c>
    </row>
    <row r="105" spans="1:15" ht="94.5">
      <c r="A105" s="156" t="s">
        <v>721</v>
      </c>
      <c r="B105" s="112" t="s">
        <v>149</v>
      </c>
      <c r="C105" s="112" t="s">
        <v>630</v>
      </c>
      <c r="D105" s="112" t="s">
        <v>61</v>
      </c>
      <c r="E105" s="112" t="s">
        <v>90</v>
      </c>
      <c r="F105" s="112" t="s">
        <v>69</v>
      </c>
      <c r="G105" s="112" t="s">
        <v>722</v>
      </c>
      <c r="H105" s="112" t="s">
        <v>53</v>
      </c>
      <c r="I105" s="176"/>
      <c r="J105" s="114">
        <v>588736.43</v>
      </c>
      <c r="M105" s="265">
        <v>588736.43</v>
      </c>
      <c r="N105" s="234"/>
      <c r="O105" s="234">
        <f t="shared" si="2"/>
        <v>588736.43</v>
      </c>
    </row>
    <row r="106" spans="1:15" ht="78.75">
      <c r="A106" s="191" t="s">
        <v>638</v>
      </c>
      <c r="B106" s="112" t="s">
        <v>149</v>
      </c>
      <c r="C106" s="112" t="s">
        <v>630</v>
      </c>
      <c r="D106" s="112" t="s">
        <v>61</v>
      </c>
      <c r="E106" s="112" t="s">
        <v>90</v>
      </c>
      <c r="F106" s="112" t="s">
        <v>69</v>
      </c>
      <c r="G106" s="112" t="s">
        <v>666</v>
      </c>
      <c r="H106" s="112" t="s">
        <v>160</v>
      </c>
      <c r="I106" s="176"/>
      <c r="J106" s="114">
        <v>404820</v>
      </c>
      <c r="M106" s="265">
        <v>404820</v>
      </c>
      <c r="N106" s="234"/>
      <c r="O106" s="234">
        <f t="shared" si="2"/>
        <v>404820</v>
      </c>
    </row>
    <row r="107" spans="1:15" ht="15.75">
      <c r="A107" s="168" t="s">
        <v>133</v>
      </c>
      <c r="B107" s="28">
        <v>900</v>
      </c>
      <c r="C107" s="29" t="s">
        <v>134</v>
      </c>
      <c r="D107" s="29"/>
      <c r="E107" s="29"/>
      <c r="F107" s="29"/>
      <c r="G107" s="29"/>
      <c r="H107" s="29"/>
      <c r="I107" s="481">
        <f>I108</f>
        <v>0</v>
      </c>
      <c r="J107" s="182">
        <f>J108</f>
        <v>19000</v>
      </c>
      <c r="M107" s="265">
        <v>19000</v>
      </c>
      <c r="N107" s="234"/>
      <c r="O107" s="234">
        <f t="shared" si="2"/>
        <v>19000</v>
      </c>
    </row>
    <row r="108" spans="1:15" ht="15.75">
      <c r="A108" s="168" t="s">
        <v>135</v>
      </c>
      <c r="B108" s="28">
        <v>900</v>
      </c>
      <c r="C108" s="29" t="s">
        <v>136</v>
      </c>
      <c r="D108" s="29"/>
      <c r="E108" s="29"/>
      <c r="F108" s="29"/>
      <c r="G108" s="29"/>
      <c r="H108" s="29"/>
      <c r="I108" s="481">
        <f>SUM(I109:I111)</f>
        <v>0</v>
      </c>
      <c r="J108" s="182">
        <f>SUM(J109:J111)</f>
        <v>19000</v>
      </c>
      <c r="M108" s="265">
        <v>19000</v>
      </c>
      <c r="N108" s="234"/>
      <c r="O108" s="234">
        <f t="shared" si="2"/>
        <v>19000</v>
      </c>
    </row>
    <row r="109" spans="1:15" ht="78.75">
      <c r="A109" s="122" t="s">
        <v>989</v>
      </c>
      <c r="B109" s="61">
        <v>900</v>
      </c>
      <c r="C109" s="62" t="s">
        <v>136</v>
      </c>
      <c r="D109" s="62">
        <v>11</v>
      </c>
      <c r="E109" s="62" t="s">
        <v>60</v>
      </c>
      <c r="F109" s="62" t="s">
        <v>69</v>
      </c>
      <c r="G109" s="62" t="s">
        <v>501</v>
      </c>
      <c r="H109" s="62" t="s">
        <v>160</v>
      </c>
      <c r="I109" s="129"/>
      <c r="J109" s="181">
        <v>4000</v>
      </c>
      <c r="M109" s="265">
        <v>4000</v>
      </c>
      <c r="N109" s="234"/>
      <c r="O109" s="234">
        <f t="shared" si="2"/>
        <v>4000</v>
      </c>
    </row>
    <row r="110" spans="1:15" ht="63">
      <c r="A110" s="60" t="s">
        <v>1163</v>
      </c>
      <c r="B110" s="61">
        <v>900</v>
      </c>
      <c r="C110" s="62" t="s">
        <v>136</v>
      </c>
      <c r="D110" s="62">
        <v>11</v>
      </c>
      <c r="E110" s="62" t="s">
        <v>68</v>
      </c>
      <c r="F110" s="62" t="s">
        <v>233</v>
      </c>
      <c r="G110" s="62" t="s">
        <v>990</v>
      </c>
      <c r="H110" s="62" t="s">
        <v>160</v>
      </c>
      <c r="I110" s="129"/>
      <c r="J110" s="114">
        <v>9000</v>
      </c>
      <c r="M110" s="265">
        <v>9000</v>
      </c>
      <c r="N110" s="234"/>
      <c r="O110" s="234">
        <f t="shared" si="2"/>
        <v>9000</v>
      </c>
    </row>
    <row r="111" spans="1:15" ht="64.5" customHeight="1">
      <c r="A111" s="60" t="s">
        <v>1164</v>
      </c>
      <c r="B111" s="61">
        <v>900</v>
      </c>
      <c r="C111" s="62" t="s">
        <v>136</v>
      </c>
      <c r="D111" s="62">
        <v>11</v>
      </c>
      <c r="E111" s="62" t="s">
        <v>68</v>
      </c>
      <c r="F111" s="62" t="s">
        <v>233</v>
      </c>
      <c r="G111" s="62" t="s">
        <v>1165</v>
      </c>
      <c r="H111" s="62" t="s">
        <v>160</v>
      </c>
      <c r="I111" s="129"/>
      <c r="J111" s="181">
        <v>6000</v>
      </c>
      <c r="M111" s="265">
        <v>6000</v>
      </c>
      <c r="N111" s="234"/>
      <c r="O111" s="234">
        <f t="shared" si="2"/>
        <v>6000</v>
      </c>
    </row>
    <row r="112" spans="1:15" ht="15.75">
      <c r="A112" s="168" t="s">
        <v>137</v>
      </c>
      <c r="B112" s="22" t="s">
        <v>149</v>
      </c>
      <c r="C112" s="22" t="s">
        <v>138</v>
      </c>
      <c r="D112" s="22"/>
      <c r="E112" s="22"/>
      <c r="F112" s="22"/>
      <c r="G112" s="22"/>
      <c r="H112" s="22"/>
      <c r="I112" s="232">
        <f>I113</f>
        <v>174492.09</v>
      </c>
      <c r="J112" s="124">
        <f>J113</f>
        <v>14189774.03</v>
      </c>
      <c r="K112" s="234"/>
      <c r="M112" s="265">
        <v>14015281.94</v>
      </c>
      <c r="N112" s="234"/>
      <c r="O112" s="234">
        <f t="shared" si="2"/>
        <v>14189774.03</v>
      </c>
    </row>
    <row r="113" spans="1:15" ht="15.75">
      <c r="A113" s="168" t="s">
        <v>156</v>
      </c>
      <c r="B113" s="22" t="s">
        <v>149</v>
      </c>
      <c r="C113" s="22" t="s">
        <v>157</v>
      </c>
      <c r="D113" s="22"/>
      <c r="E113" s="22"/>
      <c r="F113" s="22"/>
      <c r="G113" s="22"/>
      <c r="H113" s="22"/>
      <c r="I113" s="232">
        <f>SUM(I114:I129)</f>
        <v>174492.09</v>
      </c>
      <c r="J113" s="124">
        <f>SUM(J114:J129)</f>
        <v>14189774.03</v>
      </c>
      <c r="M113" s="265">
        <v>14015281.94</v>
      </c>
      <c r="N113" s="234"/>
      <c r="O113" s="234">
        <f t="shared" si="2"/>
        <v>14189774.03</v>
      </c>
    </row>
    <row r="114" spans="1:15" ht="78.75">
      <c r="A114" s="60" t="s">
        <v>389</v>
      </c>
      <c r="B114" s="21" t="s">
        <v>149</v>
      </c>
      <c r="C114" s="21" t="s">
        <v>157</v>
      </c>
      <c r="D114" s="21" t="s">
        <v>59</v>
      </c>
      <c r="E114" s="21" t="s">
        <v>68</v>
      </c>
      <c r="F114" s="21" t="s">
        <v>69</v>
      </c>
      <c r="G114" s="21" t="s">
        <v>502</v>
      </c>
      <c r="H114" s="21" t="s">
        <v>106</v>
      </c>
      <c r="I114" s="129"/>
      <c r="J114" s="411">
        <v>3976717.26</v>
      </c>
      <c r="M114" s="265">
        <v>3976717.26</v>
      </c>
      <c r="N114" s="234"/>
      <c r="O114" s="234">
        <f t="shared" si="2"/>
        <v>3976717.26</v>
      </c>
    </row>
    <row r="115" spans="1:15" ht="94.5">
      <c r="A115" s="156" t="s">
        <v>556</v>
      </c>
      <c r="B115" s="112" t="s">
        <v>149</v>
      </c>
      <c r="C115" s="112" t="s">
        <v>157</v>
      </c>
      <c r="D115" s="112" t="s">
        <v>59</v>
      </c>
      <c r="E115" s="112" t="s">
        <v>68</v>
      </c>
      <c r="F115" s="112" t="s">
        <v>69</v>
      </c>
      <c r="G115" s="112" t="s">
        <v>559</v>
      </c>
      <c r="H115" s="112" t="s">
        <v>106</v>
      </c>
      <c r="I115" s="176"/>
      <c r="J115" s="483">
        <v>9800</v>
      </c>
      <c r="M115" s="265">
        <v>9800</v>
      </c>
      <c r="N115" s="234"/>
      <c r="O115" s="234">
        <f t="shared" si="2"/>
        <v>9800</v>
      </c>
    </row>
    <row r="116" spans="1:15" ht="110.25">
      <c r="A116" s="156" t="s">
        <v>503</v>
      </c>
      <c r="B116" s="112" t="s">
        <v>149</v>
      </c>
      <c r="C116" s="112" t="s">
        <v>157</v>
      </c>
      <c r="D116" s="112" t="s">
        <v>59</v>
      </c>
      <c r="E116" s="112" t="s">
        <v>68</v>
      </c>
      <c r="F116" s="112" t="s">
        <v>69</v>
      </c>
      <c r="G116" s="112" t="s">
        <v>504</v>
      </c>
      <c r="H116" s="112" t="s">
        <v>106</v>
      </c>
      <c r="I116" s="176"/>
      <c r="J116" s="483">
        <v>970170</v>
      </c>
      <c r="M116" s="265">
        <v>970170</v>
      </c>
      <c r="N116" s="234"/>
      <c r="O116" s="234">
        <f t="shared" si="2"/>
        <v>970170</v>
      </c>
    </row>
    <row r="117" spans="1:15" ht="78.75">
      <c r="A117" s="60" t="s">
        <v>396</v>
      </c>
      <c r="B117" s="21" t="s">
        <v>149</v>
      </c>
      <c r="C117" s="21" t="s">
        <v>157</v>
      </c>
      <c r="D117" s="21" t="s">
        <v>59</v>
      </c>
      <c r="E117" s="21" t="s">
        <v>60</v>
      </c>
      <c r="F117" s="21" t="s">
        <v>69</v>
      </c>
      <c r="G117" s="21" t="s">
        <v>505</v>
      </c>
      <c r="H117" s="21" t="s">
        <v>106</v>
      </c>
      <c r="I117" s="129"/>
      <c r="J117" s="483">
        <v>6600949.68</v>
      </c>
      <c r="M117" s="265">
        <v>6600949.68</v>
      </c>
      <c r="N117" s="234"/>
      <c r="O117" s="234">
        <f t="shared" si="2"/>
        <v>6600949.68</v>
      </c>
    </row>
    <row r="118" spans="1:15" ht="94.5">
      <c r="A118" s="156" t="s">
        <v>556</v>
      </c>
      <c r="B118" s="112" t="s">
        <v>149</v>
      </c>
      <c r="C118" s="112" t="s">
        <v>157</v>
      </c>
      <c r="D118" s="112" t="s">
        <v>59</v>
      </c>
      <c r="E118" s="112" t="s">
        <v>60</v>
      </c>
      <c r="F118" s="112" t="s">
        <v>69</v>
      </c>
      <c r="G118" s="112" t="s">
        <v>559</v>
      </c>
      <c r="H118" s="112" t="s">
        <v>106</v>
      </c>
      <c r="I118" s="176"/>
      <c r="J118" s="483">
        <v>17640</v>
      </c>
      <c r="M118" s="265">
        <v>17640</v>
      </c>
      <c r="N118" s="234"/>
      <c r="O118" s="234">
        <f t="shared" si="2"/>
        <v>17640</v>
      </c>
    </row>
    <row r="119" spans="1:15" ht="110.25">
      <c r="A119" s="156" t="s">
        <v>506</v>
      </c>
      <c r="B119" s="112" t="s">
        <v>149</v>
      </c>
      <c r="C119" s="112" t="s">
        <v>157</v>
      </c>
      <c r="D119" s="112" t="s">
        <v>59</v>
      </c>
      <c r="E119" s="112" t="s">
        <v>60</v>
      </c>
      <c r="F119" s="112" t="s">
        <v>69</v>
      </c>
      <c r="G119" s="112" t="s">
        <v>504</v>
      </c>
      <c r="H119" s="112" t="s">
        <v>106</v>
      </c>
      <c r="I119" s="176"/>
      <c r="J119" s="483">
        <v>1746305</v>
      </c>
      <c r="M119" s="265">
        <v>1746305</v>
      </c>
      <c r="N119" s="234"/>
      <c r="O119" s="234">
        <f t="shared" si="2"/>
        <v>1746305</v>
      </c>
    </row>
    <row r="120" spans="1:15" ht="78.75">
      <c r="A120" s="156" t="s">
        <v>1098</v>
      </c>
      <c r="B120" s="112" t="s">
        <v>149</v>
      </c>
      <c r="C120" s="112" t="s">
        <v>157</v>
      </c>
      <c r="D120" s="112" t="s">
        <v>59</v>
      </c>
      <c r="E120" s="112" t="s">
        <v>68</v>
      </c>
      <c r="F120" s="112" t="s">
        <v>69</v>
      </c>
      <c r="G120" s="112" t="s">
        <v>1099</v>
      </c>
      <c r="H120" s="112" t="s">
        <v>106</v>
      </c>
      <c r="I120" s="176"/>
      <c r="J120" s="184">
        <v>0</v>
      </c>
      <c r="M120" s="265">
        <v>0</v>
      </c>
      <c r="N120" s="234"/>
      <c r="O120" s="234">
        <f t="shared" si="2"/>
        <v>0</v>
      </c>
    </row>
    <row r="121" spans="1:15" ht="78.75">
      <c r="A121" s="156" t="s">
        <v>1104</v>
      </c>
      <c r="B121" s="112" t="s">
        <v>149</v>
      </c>
      <c r="C121" s="112" t="s">
        <v>157</v>
      </c>
      <c r="D121" s="112" t="s">
        <v>59</v>
      </c>
      <c r="E121" s="112" t="s">
        <v>68</v>
      </c>
      <c r="F121" s="112" t="s">
        <v>69</v>
      </c>
      <c r="G121" s="112" t="s">
        <v>1105</v>
      </c>
      <c r="H121" s="112" t="s">
        <v>106</v>
      </c>
      <c r="I121" s="176"/>
      <c r="J121" s="184">
        <v>0</v>
      </c>
      <c r="M121" s="265">
        <v>0</v>
      </c>
      <c r="N121" s="234"/>
      <c r="O121" s="234">
        <f t="shared" si="2"/>
        <v>0</v>
      </c>
    </row>
    <row r="122" spans="1:15" ht="63">
      <c r="A122" s="156" t="s">
        <v>1133</v>
      </c>
      <c r="B122" s="112" t="s">
        <v>149</v>
      </c>
      <c r="C122" s="112" t="s">
        <v>157</v>
      </c>
      <c r="D122" s="112" t="s">
        <v>59</v>
      </c>
      <c r="E122" s="112" t="s">
        <v>68</v>
      </c>
      <c r="F122" s="112" t="s">
        <v>69</v>
      </c>
      <c r="G122" s="112" t="s">
        <v>1127</v>
      </c>
      <c r="H122" s="112" t="s">
        <v>106</v>
      </c>
      <c r="I122" s="176"/>
      <c r="J122" s="184">
        <v>0</v>
      </c>
      <c r="M122" s="265">
        <v>0</v>
      </c>
      <c r="N122" s="234"/>
      <c r="O122" s="234">
        <f t="shared" si="2"/>
        <v>0</v>
      </c>
    </row>
    <row r="123" spans="1:15" ht="78.75">
      <c r="A123" s="156" t="s">
        <v>1100</v>
      </c>
      <c r="B123" s="112" t="s">
        <v>149</v>
      </c>
      <c r="C123" s="112" t="s">
        <v>157</v>
      </c>
      <c r="D123" s="112" t="s">
        <v>59</v>
      </c>
      <c r="E123" s="112" t="s">
        <v>60</v>
      </c>
      <c r="F123" s="112" t="s">
        <v>69</v>
      </c>
      <c r="G123" s="112" t="s">
        <v>1101</v>
      </c>
      <c r="H123" s="112" t="s">
        <v>106</v>
      </c>
      <c r="I123" s="176"/>
      <c r="J123" s="265">
        <v>496600</v>
      </c>
      <c r="M123" s="265">
        <v>496600</v>
      </c>
      <c r="N123" s="234"/>
      <c r="O123" s="234">
        <f t="shared" si="2"/>
        <v>496600</v>
      </c>
    </row>
    <row r="124" spans="1:15" ht="78.75">
      <c r="A124" s="156" t="s">
        <v>1102</v>
      </c>
      <c r="B124" s="112" t="s">
        <v>149</v>
      </c>
      <c r="C124" s="112" t="s">
        <v>157</v>
      </c>
      <c r="D124" s="112" t="s">
        <v>59</v>
      </c>
      <c r="E124" s="112" t="s">
        <v>60</v>
      </c>
      <c r="F124" s="112" t="s">
        <v>69</v>
      </c>
      <c r="G124" s="112" t="s">
        <v>1103</v>
      </c>
      <c r="H124" s="112" t="s">
        <v>106</v>
      </c>
      <c r="I124" s="176">
        <v>174492.09</v>
      </c>
      <c r="J124" s="183">
        <v>174492.09</v>
      </c>
      <c r="M124" s="265">
        <v>0</v>
      </c>
      <c r="N124" s="234"/>
      <c r="O124" s="234">
        <f t="shared" si="2"/>
        <v>174492.09</v>
      </c>
    </row>
    <row r="125" spans="1:15" ht="63">
      <c r="A125" s="156" t="s">
        <v>1134</v>
      </c>
      <c r="B125" s="112" t="s">
        <v>149</v>
      </c>
      <c r="C125" s="112" t="s">
        <v>157</v>
      </c>
      <c r="D125" s="112" t="s">
        <v>59</v>
      </c>
      <c r="E125" s="112" t="s">
        <v>60</v>
      </c>
      <c r="F125" s="112" t="s">
        <v>69</v>
      </c>
      <c r="G125" s="112" t="s">
        <v>1129</v>
      </c>
      <c r="H125" s="112" t="s">
        <v>106</v>
      </c>
      <c r="I125" s="176"/>
      <c r="J125" s="184">
        <v>0</v>
      </c>
      <c r="M125" s="265">
        <v>0</v>
      </c>
      <c r="N125" s="234"/>
      <c r="O125" s="234">
        <f t="shared" si="2"/>
        <v>0</v>
      </c>
    </row>
    <row r="126" spans="1:15" ht="63">
      <c r="A126" s="156" t="s">
        <v>1312</v>
      </c>
      <c r="B126" s="112" t="s">
        <v>149</v>
      </c>
      <c r="C126" s="112" t="s">
        <v>157</v>
      </c>
      <c r="D126" s="112" t="s">
        <v>59</v>
      </c>
      <c r="E126" s="112" t="s">
        <v>68</v>
      </c>
      <c r="F126" s="112" t="s">
        <v>115</v>
      </c>
      <c r="G126" s="112" t="s">
        <v>1330</v>
      </c>
      <c r="H126" s="112" t="s">
        <v>106</v>
      </c>
      <c r="I126" s="176"/>
      <c r="J126" s="169">
        <v>132000</v>
      </c>
      <c r="M126" s="265">
        <v>132000</v>
      </c>
      <c r="N126" s="234"/>
      <c r="O126" s="234">
        <f t="shared" si="2"/>
        <v>132000</v>
      </c>
    </row>
    <row r="127" spans="1:15" ht="68.25" customHeight="1">
      <c r="A127" s="156" t="s">
        <v>1556</v>
      </c>
      <c r="B127" s="112" t="s">
        <v>149</v>
      </c>
      <c r="C127" s="112" t="s">
        <v>157</v>
      </c>
      <c r="D127" s="112" t="s">
        <v>59</v>
      </c>
      <c r="E127" s="112" t="s">
        <v>60</v>
      </c>
      <c r="F127" s="112" t="s">
        <v>1554</v>
      </c>
      <c r="G127" s="112" t="s">
        <v>1555</v>
      </c>
      <c r="H127" s="112" t="s">
        <v>106</v>
      </c>
      <c r="I127" s="176"/>
      <c r="J127" s="169">
        <v>65100</v>
      </c>
      <c r="M127" s="265">
        <v>65100</v>
      </c>
      <c r="N127" s="234"/>
      <c r="O127" s="234">
        <f t="shared" si="2"/>
        <v>65100</v>
      </c>
    </row>
    <row r="128" spans="1:15" ht="63">
      <c r="A128" s="156" t="s">
        <v>545</v>
      </c>
      <c r="B128" s="112" t="s">
        <v>149</v>
      </c>
      <c r="C128" s="112" t="s">
        <v>157</v>
      </c>
      <c r="D128" s="112" t="s">
        <v>59</v>
      </c>
      <c r="E128" s="112" t="s">
        <v>60</v>
      </c>
      <c r="F128" s="112" t="s">
        <v>69</v>
      </c>
      <c r="G128" s="112" t="s">
        <v>740</v>
      </c>
      <c r="H128" s="112" t="s">
        <v>106</v>
      </c>
      <c r="I128" s="176"/>
      <c r="J128" s="184">
        <v>0</v>
      </c>
      <c r="M128" s="265">
        <v>0</v>
      </c>
      <c r="N128" s="234"/>
      <c r="O128" s="234">
        <f t="shared" si="2"/>
        <v>0</v>
      </c>
    </row>
    <row r="129" spans="1:15" ht="110.25">
      <c r="A129" s="156" t="s">
        <v>1170</v>
      </c>
      <c r="B129" s="112" t="s">
        <v>149</v>
      </c>
      <c r="C129" s="112" t="s">
        <v>157</v>
      </c>
      <c r="D129" s="112" t="s">
        <v>59</v>
      </c>
      <c r="E129" s="112" t="s">
        <v>60</v>
      </c>
      <c r="F129" s="112" t="s">
        <v>69</v>
      </c>
      <c r="G129" s="112" t="s">
        <v>1169</v>
      </c>
      <c r="H129" s="112" t="s">
        <v>106</v>
      </c>
      <c r="I129" s="176"/>
      <c r="J129" s="184">
        <v>0</v>
      </c>
      <c r="M129" s="265">
        <v>0</v>
      </c>
      <c r="N129" s="234"/>
      <c r="O129" s="234">
        <f t="shared" si="2"/>
        <v>0</v>
      </c>
    </row>
    <row r="130" spans="1:15" ht="15.75">
      <c r="A130" s="168" t="s">
        <v>245</v>
      </c>
      <c r="B130" s="22" t="s">
        <v>149</v>
      </c>
      <c r="C130" s="22" t="s">
        <v>246</v>
      </c>
      <c r="D130" s="22"/>
      <c r="E130" s="22"/>
      <c r="F130" s="22"/>
      <c r="G130" s="22"/>
      <c r="H130" s="22"/>
      <c r="I130" s="232">
        <f>I131+I134+I136+I138</f>
        <v>0</v>
      </c>
      <c r="J130" s="124">
        <f>J131+J134+J136+J138</f>
        <v>9510945.82</v>
      </c>
      <c r="M130" s="265">
        <v>9510945.82</v>
      </c>
      <c r="N130" s="234"/>
      <c r="O130" s="234">
        <f t="shared" si="2"/>
        <v>9510945.82</v>
      </c>
    </row>
    <row r="131" spans="1:15" ht="15.75">
      <c r="A131" s="168" t="s">
        <v>247</v>
      </c>
      <c r="B131" s="22" t="s">
        <v>149</v>
      </c>
      <c r="C131" s="22" t="s">
        <v>155</v>
      </c>
      <c r="D131" s="22"/>
      <c r="E131" s="22"/>
      <c r="F131" s="22"/>
      <c r="G131" s="22"/>
      <c r="H131" s="22"/>
      <c r="I131" s="232">
        <f>SUM(I132:I133)</f>
        <v>0</v>
      </c>
      <c r="J131" s="124">
        <f>SUM(J132:J133)</f>
        <v>1271601.12</v>
      </c>
      <c r="M131" s="265">
        <v>1271601.12</v>
      </c>
      <c r="N131" s="234"/>
      <c r="O131" s="234">
        <f t="shared" si="2"/>
        <v>1271601.12</v>
      </c>
    </row>
    <row r="132" spans="1:15" ht="78.75">
      <c r="A132" s="156" t="s">
        <v>597</v>
      </c>
      <c r="B132" s="112" t="s">
        <v>149</v>
      </c>
      <c r="C132" s="112" t="s">
        <v>155</v>
      </c>
      <c r="D132" s="112" t="s">
        <v>115</v>
      </c>
      <c r="E132" s="112" t="s">
        <v>68</v>
      </c>
      <c r="F132" s="112" t="s">
        <v>115</v>
      </c>
      <c r="G132" s="112" t="s">
        <v>507</v>
      </c>
      <c r="H132" s="112" t="s">
        <v>160</v>
      </c>
      <c r="I132" s="176"/>
      <c r="J132" s="114">
        <v>16265.04</v>
      </c>
      <c r="M132" s="265">
        <v>16265.04</v>
      </c>
      <c r="N132" s="234"/>
      <c r="O132" s="234">
        <f t="shared" si="2"/>
        <v>16265.04</v>
      </c>
    </row>
    <row r="133" spans="1:15" ht="66" customHeight="1">
      <c r="A133" s="156" t="s">
        <v>460</v>
      </c>
      <c r="B133" s="112" t="s">
        <v>149</v>
      </c>
      <c r="C133" s="112" t="s">
        <v>155</v>
      </c>
      <c r="D133" s="112" t="s">
        <v>115</v>
      </c>
      <c r="E133" s="112" t="s">
        <v>68</v>
      </c>
      <c r="F133" s="112" t="s">
        <v>115</v>
      </c>
      <c r="G133" s="112" t="s">
        <v>507</v>
      </c>
      <c r="H133" s="112" t="s">
        <v>107</v>
      </c>
      <c r="I133" s="176"/>
      <c r="J133" s="169">
        <v>1255336.08</v>
      </c>
      <c r="M133" s="265">
        <v>1255336.08</v>
      </c>
      <c r="N133" s="234"/>
      <c r="O133" s="234">
        <f t="shared" si="2"/>
        <v>1255336.08</v>
      </c>
    </row>
    <row r="134" spans="1:15" ht="15.75">
      <c r="A134" s="168" t="s">
        <v>194</v>
      </c>
      <c r="B134" s="22" t="s">
        <v>149</v>
      </c>
      <c r="C134" s="22" t="s">
        <v>195</v>
      </c>
      <c r="D134" s="22"/>
      <c r="E134" s="22"/>
      <c r="F134" s="22"/>
      <c r="G134" s="22"/>
      <c r="H134" s="22"/>
      <c r="I134" s="232">
        <f>I135</f>
        <v>0</v>
      </c>
      <c r="J134" s="124">
        <f>J135</f>
        <v>870313.5</v>
      </c>
      <c r="M134" s="265">
        <v>870313.5</v>
      </c>
      <c r="N134" s="234"/>
      <c r="O134" s="234">
        <f t="shared" si="2"/>
        <v>870313.5</v>
      </c>
    </row>
    <row r="135" spans="1:15" ht="47.25">
      <c r="A135" s="189" t="s">
        <v>955</v>
      </c>
      <c r="B135" s="112" t="s">
        <v>149</v>
      </c>
      <c r="C135" s="112" t="s">
        <v>195</v>
      </c>
      <c r="D135" s="112" t="s">
        <v>61</v>
      </c>
      <c r="E135" s="112" t="s">
        <v>224</v>
      </c>
      <c r="F135" s="112" t="s">
        <v>69</v>
      </c>
      <c r="G135" s="112" t="s">
        <v>959</v>
      </c>
      <c r="H135" s="112" t="s">
        <v>107</v>
      </c>
      <c r="I135" s="176"/>
      <c r="J135" s="176">
        <v>870313.5</v>
      </c>
      <c r="M135" s="265">
        <v>870313.5</v>
      </c>
      <c r="N135" s="234"/>
      <c r="O135" s="234">
        <f t="shared" si="2"/>
        <v>870313.5</v>
      </c>
    </row>
    <row r="136" spans="1:15" ht="15.75">
      <c r="A136" s="168" t="s">
        <v>196</v>
      </c>
      <c r="B136" s="117" t="s">
        <v>149</v>
      </c>
      <c r="C136" s="117" t="s">
        <v>197</v>
      </c>
      <c r="D136" s="101"/>
      <c r="E136" s="101"/>
      <c r="F136" s="101"/>
      <c r="G136" s="101"/>
      <c r="H136" s="101"/>
      <c r="I136" s="232">
        <f>I137</f>
        <v>0</v>
      </c>
      <c r="J136" s="124">
        <f>J137</f>
        <v>7360531.2</v>
      </c>
      <c r="M136" s="265">
        <v>7360531.2</v>
      </c>
      <c r="N136" s="234"/>
      <c r="O136" s="234">
        <f t="shared" si="2"/>
        <v>7360531.2</v>
      </c>
    </row>
    <row r="137" spans="1:15" ht="78.75">
      <c r="A137" s="156" t="s">
        <v>1005</v>
      </c>
      <c r="B137" s="112" t="s">
        <v>149</v>
      </c>
      <c r="C137" s="112" t="s">
        <v>197</v>
      </c>
      <c r="D137" s="112" t="s">
        <v>61</v>
      </c>
      <c r="E137" s="112" t="s">
        <v>1006</v>
      </c>
      <c r="F137" s="112" t="s">
        <v>69</v>
      </c>
      <c r="G137" s="112" t="s">
        <v>1166</v>
      </c>
      <c r="H137" s="112" t="s">
        <v>939</v>
      </c>
      <c r="I137" s="176"/>
      <c r="J137" s="114">
        <v>7360531.2</v>
      </c>
      <c r="M137" s="265">
        <v>7360531.2</v>
      </c>
      <c r="N137" s="234"/>
      <c r="O137" s="234">
        <f t="shared" si="2"/>
        <v>7360531.2</v>
      </c>
    </row>
    <row r="138" spans="1:15" ht="15.75">
      <c r="A138" s="120" t="s">
        <v>320</v>
      </c>
      <c r="B138" s="117" t="s">
        <v>149</v>
      </c>
      <c r="C138" s="117" t="s">
        <v>319</v>
      </c>
      <c r="D138" s="117"/>
      <c r="E138" s="117"/>
      <c r="F138" s="117"/>
      <c r="G138" s="117"/>
      <c r="H138" s="117"/>
      <c r="I138" s="232">
        <f>SUM(I139:I142)</f>
        <v>0</v>
      </c>
      <c r="J138" s="124">
        <f>SUM(J139:J142)</f>
        <v>8500</v>
      </c>
      <c r="M138" s="265">
        <v>8500</v>
      </c>
      <c r="N138" s="234"/>
      <c r="O138" s="234">
        <f t="shared" si="2"/>
        <v>8500</v>
      </c>
    </row>
    <row r="139" spans="1:15" ht="64.5" customHeight="1">
      <c r="A139" s="122" t="s">
        <v>1460</v>
      </c>
      <c r="B139" s="112" t="s">
        <v>149</v>
      </c>
      <c r="C139" s="21" t="s">
        <v>319</v>
      </c>
      <c r="D139" s="21" t="s">
        <v>1249</v>
      </c>
      <c r="E139" s="21" t="s">
        <v>68</v>
      </c>
      <c r="F139" s="21" t="s">
        <v>115</v>
      </c>
      <c r="G139" s="112" t="s">
        <v>1461</v>
      </c>
      <c r="H139" s="21" t="s">
        <v>160</v>
      </c>
      <c r="I139" s="129"/>
      <c r="J139" s="171">
        <v>2000</v>
      </c>
      <c r="M139" s="265">
        <v>2000</v>
      </c>
      <c r="N139" s="234"/>
      <c r="O139" s="234">
        <f t="shared" si="2"/>
        <v>2000</v>
      </c>
    </row>
    <row r="140" spans="1:15" ht="84" customHeight="1">
      <c r="A140" s="122" t="s">
        <v>1462</v>
      </c>
      <c r="B140" s="112" t="s">
        <v>149</v>
      </c>
      <c r="C140" s="21" t="s">
        <v>319</v>
      </c>
      <c r="D140" s="21" t="s">
        <v>1249</v>
      </c>
      <c r="E140" s="21" t="s">
        <v>68</v>
      </c>
      <c r="F140" s="21" t="s">
        <v>233</v>
      </c>
      <c r="G140" s="112" t="s">
        <v>1463</v>
      </c>
      <c r="H140" s="21" t="s">
        <v>160</v>
      </c>
      <c r="I140" s="129"/>
      <c r="J140" s="171">
        <v>3500</v>
      </c>
      <c r="M140" s="265">
        <v>3500</v>
      </c>
      <c r="N140" s="234"/>
      <c r="O140" s="234">
        <f t="shared" si="2"/>
        <v>3500</v>
      </c>
    </row>
    <row r="141" spans="1:15" ht="63">
      <c r="A141" s="122" t="s">
        <v>1467</v>
      </c>
      <c r="B141" s="112" t="s">
        <v>149</v>
      </c>
      <c r="C141" s="21" t="s">
        <v>319</v>
      </c>
      <c r="D141" s="21" t="s">
        <v>1249</v>
      </c>
      <c r="E141" s="21" t="s">
        <v>68</v>
      </c>
      <c r="F141" s="21" t="s">
        <v>115</v>
      </c>
      <c r="G141" s="112" t="s">
        <v>1281</v>
      </c>
      <c r="H141" s="21" t="s">
        <v>160</v>
      </c>
      <c r="I141" s="129"/>
      <c r="J141" s="171">
        <v>0</v>
      </c>
      <c r="M141" s="265">
        <v>0</v>
      </c>
      <c r="N141" s="234"/>
      <c r="O141" s="234">
        <f t="shared" si="2"/>
        <v>0</v>
      </c>
    </row>
    <row r="142" spans="1:15" ht="78.75">
      <c r="A142" s="122" t="s">
        <v>1464</v>
      </c>
      <c r="B142" s="21" t="s">
        <v>149</v>
      </c>
      <c r="C142" s="21" t="s">
        <v>319</v>
      </c>
      <c r="D142" s="21" t="s">
        <v>1249</v>
      </c>
      <c r="E142" s="21" t="s">
        <v>68</v>
      </c>
      <c r="F142" s="21" t="s">
        <v>57</v>
      </c>
      <c r="G142" s="112" t="s">
        <v>1465</v>
      </c>
      <c r="H142" s="21" t="s">
        <v>160</v>
      </c>
      <c r="I142" s="129"/>
      <c r="J142" s="169">
        <v>3000</v>
      </c>
      <c r="M142" s="265">
        <v>3000</v>
      </c>
      <c r="N142" s="234"/>
      <c r="O142" s="234">
        <f t="shared" si="2"/>
        <v>3000</v>
      </c>
    </row>
    <row r="143" spans="1:15" ht="15.75">
      <c r="A143" s="168" t="s">
        <v>198</v>
      </c>
      <c r="B143" s="22" t="s">
        <v>149</v>
      </c>
      <c r="C143" s="22" t="s">
        <v>199</v>
      </c>
      <c r="D143" s="22"/>
      <c r="E143" s="22"/>
      <c r="F143" s="22"/>
      <c r="G143" s="22"/>
      <c r="H143" s="22"/>
      <c r="I143" s="232">
        <f>I144+I146</f>
        <v>0</v>
      </c>
      <c r="J143" s="124">
        <f>J144+J146</f>
        <v>863721</v>
      </c>
      <c r="M143" s="265">
        <v>863721</v>
      </c>
      <c r="N143" s="234"/>
      <c r="O143" s="234">
        <f t="shared" si="2"/>
        <v>863721</v>
      </c>
    </row>
    <row r="144" spans="1:15" ht="15.75">
      <c r="A144" s="168" t="s">
        <v>979</v>
      </c>
      <c r="B144" s="22" t="s">
        <v>149</v>
      </c>
      <c r="C144" s="22" t="s">
        <v>978</v>
      </c>
      <c r="D144" s="22"/>
      <c r="E144" s="22"/>
      <c r="F144" s="22"/>
      <c r="G144" s="22"/>
      <c r="H144" s="22"/>
      <c r="I144" s="232">
        <f>SUM(I145:I145)</f>
        <v>0</v>
      </c>
      <c r="J144" s="124">
        <f>SUM(J145:J145)</f>
        <v>0</v>
      </c>
      <c r="M144" s="265">
        <v>0</v>
      </c>
      <c r="N144" s="234"/>
      <c r="O144" s="234">
        <f t="shared" si="2"/>
        <v>0</v>
      </c>
    </row>
    <row r="145" spans="1:15" ht="84.75" customHeight="1">
      <c r="A145" s="189" t="s">
        <v>981</v>
      </c>
      <c r="B145" s="112" t="s">
        <v>149</v>
      </c>
      <c r="C145" s="112" t="s">
        <v>978</v>
      </c>
      <c r="D145" s="112" t="s">
        <v>58</v>
      </c>
      <c r="E145" s="112" t="s">
        <v>68</v>
      </c>
      <c r="F145" s="112" t="s">
        <v>69</v>
      </c>
      <c r="G145" s="112" t="s">
        <v>1366</v>
      </c>
      <c r="H145" s="112" t="s">
        <v>939</v>
      </c>
      <c r="I145" s="176"/>
      <c r="J145" s="114">
        <v>0</v>
      </c>
      <c r="M145" s="265">
        <v>0</v>
      </c>
      <c r="N145" s="234"/>
      <c r="O145" s="234">
        <f t="shared" si="2"/>
        <v>0</v>
      </c>
    </row>
    <row r="146" spans="1:15" ht="15.75">
      <c r="A146" s="168" t="s">
        <v>222</v>
      </c>
      <c r="B146" s="22" t="s">
        <v>149</v>
      </c>
      <c r="C146" s="22" t="s">
        <v>200</v>
      </c>
      <c r="D146" s="22"/>
      <c r="E146" s="22"/>
      <c r="F146" s="22"/>
      <c r="G146" s="22"/>
      <c r="H146" s="22"/>
      <c r="I146" s="232">
        <f>SUM(I147:I150)</f>
        <v>0</v>
      </c>
      <c r="J146" s="124">
        <f>SUM(J147:J150)</f>
        <v>863721</v>
      </c>
      <c r="M146" s="265">
        <v>863721</v>
      </c>
      <c r="N146" s="234"/>
      <c r="O146" s="234">
        <f t="shared" si="2"/>
        <v>863721</v>
      </c>
    </row>
    <row r="147" spans="1:15" ht="84" customHeight="1">
      <c r="A147" s="60" t="s">
        <v>656</v>
      </c>
      <c r="B147" s="21" t="s">
        <v>149</v>
      </c>
      <c r="C147" s="21" t="s">
        <v>200</v>
      </c>
      <c r="D147" s="21" t="s">
        <v>284</v>
      </c>
      <c r="E147" s="21" t="s">
        <v>68</v>
      </c>
      <c r="F147" s="21" t="s">
        <v>69</v>
      </c>
      <c r="G147" s="21" t="s">
        <v>508</v>
      </c>
      <c r="H147" s="21" t="s">
        <v>160</v>
      </c>
      <c r="I147" s="129"/>
      <c r="J147" s="79">
        <v>250000</v>
      </c>
      <c r="M147" s="265">
        <v>250000</v>
      </c>
      <c r="N147" s="234"/>
      <c r="O147" s="234">
        <f t="shared" si="2"/>
        <v>250000</v>
      </c>
    </row>
    <row r="148" spans="1:15" ht="68.25" customHeight="1">
      <c r="A148" s="60" t="s">
        <v>884</v>
      </c>
      <c r="B148" s="21" t="s">
        <v>149</v>
      </c>
      <c r="C148" s="21" t="s">
        <v>200</v>
      </c>
      <c r="D148" s="21" t="s">
        <v>284</v>
      </c>
      <c r="E148" s="21" t="s">
        <v>60</v>
      </c>
      <c r="F148" s="21" t="s">
        <v>69</v>
      </c>
      <c r="G148" s="21" t="s">
        <v>509</v>
      </c>
      <c r="H148" s="21" t="s">
        <v>160</v>
      </c>
      <c r="I148" s="129"/>
      <c r="J148" s="79">
        <v>164120</v>
      </c>
      <c r="M148" s="265">
        <v>164120</v>
      </c>
      <c r="N148" s="234"/>
      <c r="O148" s="234">
        <f t="shared" si="2"/>
        <v>164120</v>
      </c>
    </row>
    <row r="149" spans="1:15" ht="102.75" customHeight="1">
      <c r="A149" s="60" t="s">
        <v>1559</v>
      </c>
      <c r="B149" s="21" t="s">
        <v>149</v>
      </c>
      <c r="C149" s="21" t="s">
        <v>200</v>
      </c>
      <c r="D149" s="21" t="s">
        <v>284</v>
      </c>
      <c r="E149" s="21" t="s">
        <v>60</v>
      </c>
      <c r="F149" s="21" t="s">
        <v>69</v>
      </c>
      <c r="G149" s="21" t="s">
        <v>492</v>
      </c>
      <c r="H149" s="21" t="s">
        <v>159</v>
      </c>
      <c r="I149" s="129"/>
      <c r="J149" s="79">
        <v>170000</v>
      </c>
      <c r="M149" s="265">
        <v>170000</v>
      </c>
      <c r="N149" s="234"/>
      <c r="O149" s="234">
        <f t="shared" si="2"/>
        <v>170000</v>
      </c>
    </row>
    <row r="150" spans="1:15" ht="66.75" customHeight="1">
      <c r="A150" s="60" t="s">
        <v>885</v>
      </c>
      <c r="B150" s="21" t="s">
        <v>149</v>
      </c>
      <c r="C150" s="21" t="s">
        <v>200</v>
      </c>
      <c r="D150" s="21" t="s">
        <v>284</v>
      </c>
      <c r="E150" s="21" t="s">
        <v>60</v>
      </c>
      <c r="F150" s="21" t="s">
        <v>69</v>
      </c>
      <c r="G150" s="21" t="s">
        <v>492</v>
      </c>
      <c r="H150" s="21" t="s">
        <v>160</v>
      </c>
      <c r="I150" s="129"/>
      <c r="J150" s="79">
        <v>279601</v>
      </c>
      <c r="M150" s="265">
        <v>279601</v>
      </c>
      <c r="N150" s="234"/>
      <c r="O150" s="234">
        <f t="shared" si="2"/>
        <v>279601</v>
      </c>
    </row>
    <row r="151" spans="1:15" ht="15.75">
      <c r="A151" s="166" t="s">
        <v>122</v>
      </c>
      <c r="B151" s="167" t="s">
        <v>123</v>
      </c>
      <c r="C151" s="167"/>
      <c r="D151" s="167"/>
      <c r="E151" s="167"/>
      <c r="F151" s="167"/>
      <c r="G151" s="167"/>
      <c r="H151" s="167"/>
      <c r="I151" s="478">
        <f>I152</f>
        <v>0</v>
      </c>
      <c r="J151" s="148">
        <f>J152</f>
        <v>1296740.2</v>
      </c>
      <c r="M151" s="265">
        <v>1296740.2</v>
      </c>
      <c r="N151" s="234"/>
      <c r="O151" s="234">
        <f t="shared" si="2"/>
        <v>1296740.2</v>
      </c>
    </row>
    <row r="152" spans="1:15" ht="15.75">
      <c r="A152" s="168" t="s">
        <v>275</v>
      </c>
      <c r="B152" s="22" t="s">
        <v>123</v>
      </c>
      <c r="C152" s="22" t="s">
        <v>276</v>
      </c>
      <c r="D152" s="22"/>
      <c r="E152" s="22"/>
      <c r="F152" s="22"/>
      <c r="G152" s="22"/>
      <c r="H152" s="22"/>
      <c r="I152" s="232">
        <f>I153</f>
        <v>0</v>
      </c>
      <c r="J152" s="124">
        <f>J153</f>
        <v>1296740.2</v>
      </c>
      <c r="M152" s="265">
        <v>1296740.2</v>
      </c>
      <c r="N152" s="234"/>
      <c r="O152" s="234">
        <f t="shared" si="2"/>
        <v>1296740.2</v>
      </c>
    </row>
    <row r="153" spans="1:15" ht="63">
      <c r="A153" s="168" t="s">
        <v>244</v>
      </c>
      <c r="B153" s="22" t="s">
        <v>123</v>
      </c>
      <c r="C153" s="22" t="s">
        <v>125</v>
      </c>
      <c r="D153" s="22"/>
      <c r="E153" s="22"/>
      <c r="F153" s="22"/>
      <c r="G153" s="22"/>
      <c r="H153" s="22"/>
      <c r="I153" s="232">
        <f>SUM(I154:I157)</f>
        <v>0</v>
      </c>
      <c r="J153" s="124">
        <f>SUM(J154:J157)</f>
        <v>1296740.2</v>
      </c>
      <c r="M153" s="265">
        <v>1296740.2</v>
      </c>
      <c r="N153" s="234"/>
      <c r="O153" s="234">
        <f t="shared" si="2"/>
        <v>1296740.2</v>
      </c>
    </row>
    <row r="154" spans="1:15" ht="94.5">
      <c r="A154" s="105" t="s">
        <v>940</v>
      </c>
      <c r="B154" s="21" t="s">
        <v>123</v>
      </c>
      <c r="C154" s="21" t="s">
        <v>125</v>
      </c>
      <c r="D154" s="21" t="s">
        <v>115</v>
      </c>
      <c r="E154" s="21" t="s">
        <v>60</v>
      </c>
      <c r="F154" s="21" t="s">
        <v>115</v>
      </c>
      <c r="G154" s="21" t="s">
        <v>547</v>
      </c>
      <c r="H154" s="21" t="s">
        <v>159</v>
      </c>
      <c r="I154" s="129"/>
      <c r="J154" s="114">
        <v>509915.28</v>
      </c>
      <c r="M154" s="265">
        <v>509915.28</v>
      </c>
      <c r="N154" s="234"/>
      <c r="O154" s="234">
        <f t="shared" si="2"/>
        <v>509915.28</v>
      </c>
    </row>
    <row r="155" spans="1:15" ht="94.5">
      <c r="A155" s="60" t="s">
        <v>510</v>
      </c>
      <c r="B155" s="21" t="s">
        <v>123</v>
      </c>
      <c r="C155" s="21" t="s">
        <v>125</v>
      </c>
      <c r="D155" s="21" t="s">
        <v>115</v>
      </c>
      <c r="E155" s="21" t="s">
        <v>60</v>
      </c>
      <c r="F155" s="21" t="s">
        <v>115</v>
      </c>
      <c r="G155" s="21" t="s">
        <v>511</v>
      </c>
      <c r="H155" s="21" t="s">
        <v>159</v>
      </c>
      <c r="I155" s="129"/>
      <c r="J155" s="114">
        <v>247953.91999999998</v>
      </c>
      <c r="M155" s="265">
        <v>247953.91999999998</v>
      </c>
      <c r="N155" s="234"/>
      <c r="O155" s="234">
        <f t="shared" si="2"/>
        <v>247953.91999999998</v>
      </c>
    </row>
    <row r="156" spans="1:15" ht="53.25" customHeight="1">
      <c r="A156" s="60" t="s">
        <v>580</v>
      </c>
      <c r="B156" s="21" t="s">
        <v>123</v>
      </c>
      <c r="C156" s="21" t="s">
        <v>125</v>
      </c>
      <c r="D156" s="21" t="s">
        <v>115</v>
      </c>
      <c r="E156" s="21" t="s">
        <v>60</v>
      </c>
      <c r="F156" s="21" t="s">
        <v>115</v>
      </c>
      <c r="G156" s="21" t="s">
        <v>511</v>
      </c>
      <c r="H156" s="21" t="s">
        <v>160</v>
      </c>
      <c r="I156" s="129"/>
      <c r="J156" s="114">
        <v>520479</v>
      </c>
      <c r="M156" s="265">
        <v>520479</v>
      </c>
      <c r="N156" s="234"/>
      <c r="O156" s="234">
        <f t="shared" si="2"/>
        <v>520479</v>
      </c>
    </row>
    <row r="157" spans="1:15" ht="47.25">
      <c r="A157" s="60" t="s">
        <v>923</v>
      </c>
      <c r="B157" s="21" t="s">
        <v>123</v>
      </c>
      <c r="C157" s="21" t="s">
        <v>125</v>
      </c>
      <c r="D157" s="21" t="s">
        <v>115</v>
      </c>
      <c r="E157" s="21" t="s">
        <v>60</v>
      </c>
      <c r="F157" s="21" t="s">
        <v>115</v>
      </c>
      <c r="G157" s="21" t="s">
        <v>511</v>
      </c>
      <c r="H157" s="21" t="s">
        <v>107</v>
      </c>
      <c r="I157" s="129"/>
      <c r="J157" s="114">
        <v>18392</v>
      </c>
      <c r="M157" s="265">
        <v>18392</v>
      </c>
      <c r="N157" s="234"/>
      <c r="O157" s="234">
        <f t="shared" si="2"/>
        <v>18392</v>
      </c>
    </row>
    <row r="158" spans="1:15" ht="15.75">
      <c r="A158" s="168" t="s">
        <v>245</v>
      </c>
      <c r="B158" s="22" t="s">
        <v>123</v>
      </c>
      <c r="C158" s="22" t="s">
        <v>246</v>
      </c>
      <c r="D158" s="117"/>
      <c r="E158" s="117"/>
      <c r="F158" s="117"/>
      <c r="G158" s="117"/>
      <c r="H158" s="117"/>
      <c r="I158" s="232">
        <f>I159</f>
        <v>0</v>
      </c>
      <c r="J158" s="124">
        <f>J159</f>
        <v>0</v>
      </c>
      <c r="M158" s="265">
        <v>0</v>
      </c>
      <c r="N158" s="234"/>
      <c r="O158" s="234">
        <f t="shared" si="2"/>
        <v>0</v>
      </c>
    </row>
    <row r="159" spans="1:15" ht="15.75">
      <c r="A159" s="168" t="s">
        <v>306</v>
      </c>
      <c r="B159" s="22" t="s">
        <v>123</v>
      </c>
      <c r="C159" s="22" t="s">
        <v>319</v>
      </c>
      <c r="D159" s="22"/>
      <c r="E159" s="22"/>
      <c r="F159" s="22"/>
      <c r="G159" s="22"/>
      <c r="H159" s="22"/>
      <c r="I159" s="232">
        <f>I160+I161</f>
        <v>0</v>
      </c>
      <c r="J159" s="124">
        <f>J160+J161</f>
        <v>0</v>
      </c>
      <c r="M159" s="265">
        <v>0</v>
      </c>
      <c r="N159" s="234"/>
      <c r="O159" s="234">
        <f t="shared" si="2"/>
        <v>0</v>
      </c>
    </row>
    <row r="160" spans="1:15" ht="66" customHeight="1">
      <c r="A160" s="122" t="s">
        <v>859</v>
      </c>
      <c r="B160" s="21" t="s">
        <v>123</v>
      </c>
      <c r="C160" s="21" t="s">
        <v>319</v>
      </c>
      <c r="D160" s="21" t="s">
        <v>1249</v>
      </c>
      <c r="E160" s="21" t="s">
        <v>68</v>
      </c>
      <c r="F160" s="21" t="s">
        <v>69</v>
      </c>
      <c r="G160" s="21" t="s">
        <v>528</v>
      </c>
      <c r="H160" s="21" t="s">
        <v>160</v>
      </c>
      <c r="I160" s="129"/>
      <c r="J160" s="171">
        <v>0</v>
      </c>
      <c r="M160" s="265">
        <v>0</v>
      </c>
      <c r="N160" s="234"/>
      <c r="O160" s="234">
        <f t="shared" si="2"/>
        <v>0</v>
      </c>
    </row>
    <row r="161" spans="1:15" ht="63">
      <c r="A161" s="122" t="s">
        <v>904</v>
      </c>
      <c r="B161" s="21" t="s">
        <v>123</v>
      </c>
      <c r="C161" s="21" t="s">
        <v>319</v>
      </c>
      <c r="D161" s="21" t="s">
        <v>1249</v>
      </c>
      <c r="E161" s="21" t="s">
        <v>68</v>
      </c>
      <c r="F161" s="21" t="s">
        <v>115</v>
      </c>
      <c r="G161" s="21" t="s">
        <v>924</v>
      </c>
      <c r="H161" s="21" t="s">
        <v>160</v>
      </c>
      <c r="I161" s="129"/>
      <c r="J161" s="171">
        <v>0</v>
      </c>
      <c r="M161" s="265">
        <v>0</v>
      </c>
      <c r="N161" s="234"/>
      <c r="O161" s="234">
        <f t="shared" si="2"/>
        <v>0</v>
      </c>
    </row>
    <row r="162" spans="1:15" ht="31.5">
      <c r="A162" s="166" t="s">
        <v>87</v>
      </c>
      <c r="B162" s="167" t="s">
        <v>127</v>
      </c>
      <c r="C162" s="167"/>
      <c r="D162" s="167"/>
      <c r="E162" s="167"/>
      <c r="F162" s="167"/>
      <c r="G162" s="167"/>
      <c r="H162" s="167"/>
      <c r="I162" s="478">
        <f>I163++I230</f>
        <v>0</v>
      </c>
      <c r="J162" s="148">
        <f>J163++J230</f>
        <v>253642983.88000003</v>
      </c>
      <c r="M162" s="265">
        <v>253642983.88000003</v>
      </c>
      <c r="N162" s="234"/>
      <c r="O162" s="234">
        <f t="shared" si="2"/>
        <v>253642983.88000003</v>
      </c>
    </row>
    <row r="163" spans="1:15" ht="15.75">
      <c r="A163" s="168" t="s">
        <v>133</v>
      </c>
      <c r="B163" s="22" t="s">
        <v>127</v>
      </c>
      <c r="C163" s="22" t="s">
        <v>134</v>
      </c>
      <c r="D163" s="22"/>
      <c r="E163" s="22"/>
      <c r="F163" s="22"/>
      <c r="G163" s="22"/>
      <c r="H163" s="22"/>
      <c r="I163" s="232">
        <f>I164+I178+I210+I219+I223</f>
        <v>0</v>
      </c>
      <c r="J163" s="124">
        <f>J164+J178+J210+J219+J223</f>
        <v>251835995.18000004</v>
      </c>
      <c r="M163" s="265">
        <v>251835995.18000004</v>
      </c>
      <c r="N163" s="234"/>
      <c r="O163" s="234">
        <f aca="true" t="shared" si="3" ref="O163:O226">M163+I163</f>
        <v>251835995.18000004</v>
      </c>
    </row>
    <row r="164" spans="1:15" ht="15.75">
      <c r="A164" s="168" t="s">
        <v>128</v>
      </c>
      <c r="B164" s="22" t="s">
        <v>127</v>
      </c>
      <c r="C164" s="22" t="s">
        <v>228</v>
      </c>
      <c r="D164" s="22"/>
      <c r="E164" s="22"/>
      <c r="F164" s="22"/>
      <c r="G164" s="22"/>
      <c r="H164" s="22"/>
      <c r="I164" s="232">
        <f>SUM(I165:I177)</f>
        <v>0</v>
      </c>
      <c r="J164" s="124">
        <f>SUM(J165:J177)</f>
        <v>83093679.23</v>
      </c>
      <c r="M164" s="265">
        <v>83093679.23</v>
      </c>
      <c r="N164" s="234"/>
      <c r="O164" s="234">
        <f t="shared" si="3"/>
        <v>83093679.23</v>
      </c>
    </row>
    <row r="165" spans="1:15" ht="78.75">
      <c r="A165" s="180" t="s">
        <v>422</v>
      </c>
      <c r="B165" s="112" t="s">
        <v>127</v>
      </c>
      <c r="C165" s="112" t="s">
        <v>228</v>
      </c>
      <c r="D165" s="112" t="s">
        <v>223</v>
      </c>
      <c r="E165" s="112" t="s">
        <v>68</v>
      </c>
      <c r="F165" s="112" t="s">
        <v>69</v>
      </c>
      <c r="G165" s="112" t="s">
        <v>512</v>
      </c>
      <c r="H165" s="112" t="s">
        <v>106</v>
      </c>
      <c r="I165" s="176"/>
      <c r="J165" s="114">
        <v>3862937.59</v>
      </c>
      <c r="M165" s="265">
        <v>3862937.59</v>
      </c>
      <c r="N165" s="234"/>
      <c r="O165" s="234">
        <f t="shared" si="3"/>
        <v>3862937.59</v>
      </c>
    </row>
    <row r="166" spans="1:15" ht="133.5" customHeight="1">
      <c r="A166" s="156" t="s">
        <v>680</v>
      </c>
      <c r="B166" s="112" t="s">
        <v>127</v>
      </c>
      <c r="C166" s="112" t="s">
        <v>228</v>
      </c>
      <c r="D166" s="112" t="s">
        <v>223</v>
      </c>
      <c r="E166" s="112" t="s">
        <v>68</v>
      </c>
      <c r="F166" s="112" t="s">
        <v>69</v>
      </c>
      <c r="G166" s="112" t="s">
        <v>696</v>
      </c>
      <c r="H166" s="112" t="s">
        <v>106</v>
      </c>
      <c r="I166" s="176"/>
      <c r="J166" s="114">
        <f>19878770.72-2199440</f>
        <v>17679330.72</v>
      </c>
      <c r="M166" s="265">
        <v>17679330.72</v>
      </c>
      <c r="N166" s="234"/>
      <c r="O166" s="234">
        <f t="shared" si="3"/>
        <v>17679330.72</v>
      </c>
    </row>
    <row r="167" spans="1:15" ht="82.5" customHeight="1">
      <c r="A167" s="156" t="s">
        <v>1093</v>
      </c>
      <c r="B167" s="112" t="s">
        <v>127</v>
      </c>
      <c r="C167" s="112" t="s">
        <v>228</v>
      </c>
      <c r="D167" s="112" t="s">
        <v>223</v>
      </c>
      <c r="E167" s="112" t="s">
        <v>68</v>
      </c>
      <c r="F167" s="112" t="s">
        <v>69</v>
      </c>
      <c r="G167" s="112" t="s">
        <v>1083</v>
      </c>
      <c r="H167" s="112" t="s">
        <v>106</v>
      </c>
      <c r="I167" s="176"/>
      <c r="J167" s="114">
        <v>58706.01</v>
      </c>
      <c r="M167" s="265">
        <v>58706.01</v>
      </c>
      <c r="N167" s="234"/>
      <c r="O167" s="234">
        <f t="shared" si="3"/>
        <v>58706.01</v>
      </c>
    </row>
    <row r="168" spans="1:15" ht="94.5">
      <c r="A168" s="156" t="s">
        <v>681</v>
      </c>
      <c r="B168" s="112" t="s">
        <v>127</v>
      </c>
      <c r="C168" s="112" t="s">
        <v>228</v>
      </c>
      <c r="D168" s="112" t="s">
        <v>223</v>
      </c>
      <c r="E168" s="112" t="s">
        <v>68</v>
      </c>
      <c r="F168" s="112" t="s">
        <v>69</v>
      </c>
      <c r="G168" s="112" t="s">
        <v>697</v>
      </c>
      <c r="H168" s="112" t="s">
        <v>106</v>
      </c>
      <c r="I168" s="176"/>
      <c r="J168" s="114">
        <v>6897919.62</v>
      </c>
      <c r="M168" s="265">
        <v>6897919.62</v>
      </c>
      <c r="N168" s="234"/>
      <c r="O168" s="234">
        <f t="shared" si="3"/>
        <v>6897919.62</v>
      </c>
    </row>
    <row r="169" spans="1:15" ht="102" customHeight="1">
      <c r="A169" s="156" t="s">
        <v>683</v>
      </c>
      <c r="B169" s="112" t="s">
        <v>127</v>
      </c>
      <c r="C169" s="112" t="s">
        <v>228</v>
      </c>
      <c r="D169" s="112" t="s">
        <v>223</v>
      </c>
      <c r="E169" s="112" t="s">
        <v>68</v>
      </c>
      <c r="F169" s="112" t="s">
        <v>69</v>
      </c>
      <c r="G169" s="112" t="s">
        <v>698</v>
      </c>
      <c r="H169" s="112" t="s">
        <v>106</v>
      </c>
      <c r="I169" s="176"/>
      <c r="J169" s="79">
        <v>0</v>
      </c>
      <c r="M169" s="265">
        <v>0</v>
      </c>
      <c r="N169" s="234"/>
      <c r="O169" s="234">
        <f t="shared" si="3"/>
        <v>0</v>
      </c>
    </row>
    <row r="170" spans="1:15" ht="110.25">
      <c r="A170" s="156" t="s">
        <v>682</v>
      </c>
      <c r="B170" s="112" t="s">
        <v>127</v>
      </c>
      <c r="C170" s="112" t="s">
        <v>228</v>
      </c>
      <c r="D170" s="112" t="s">
        <v>223</v>
      </c>
      <c r="E170" s="112" t="s">
        <v>68</v>
      </c>
      <c r="F170" s="112" t="s">
        <v>69</v>
      </c>
      <c r="G170" s="112" t="s">
        <v>699</v>
      </c>
      <c r="H170" s="112" t="s">
        <v>106</v>
      </c>
      <c r="I170" s="176"/>
      <c r="J170" s="114">
        <v>6487917.54</v>
      </c>
      <c r="M170" s="265">
        <v>6487917.54</v>
      </c>
      <c r="N170" s="234"/>
      <c r="O170" s="234">
        <f t="shared" si="3"/>
        <v>6487917.54</v>
      </c>
    </row>
    <row r="171" spans="1:15" ht="78.75">
      <c r="A171" s="180" t="s">
        <v>424</v>
      </c>
      <c r="B171" s="112" t="s">
        <v>127</v>
      </c>
      <c r="C171" s="112" t="s">
        <v>228</v>
      </c>
      <c r="D171" s="112" t="s">
        <v>223</v>
      </c>
      <c r="E171" s="112" t="s">
        <v>68</v>
      </c>
      <c r="F171" s="112" t="s">
        <v>69</v>
      </c>
      <c r="G171" s="112" t="s">
        <v>513</v>
      </c>
      <c r="H171" s="112" t="s">
        <v>106</v>
      </c>
      <c r="I171" s="176"/>
      <c r="J171" s="169">
        <v>7213340.75</v>
      </c>
      <c r="M171" s="265">
        <v>7213340.75</v>
      </c>
      <c r="N171" s="234"/>
      <c r="O171" s="234">
        <f t="shared" si="3"/>
        <v>7213340.75</v>
      </c>
    </row>
    <row r="172" spans="1:15" ht="78.75">
      <c r="A172" s="156" t="s">
        <v>1094</v>
      </c>
      <c r="B172" s="112" t="s">
        <v>127</v>
      </c>
      <c r="C172" s="112" t="s">
        <v>228</v>
      </c>
      <c r="D172" s="112" t="s">
        <v>223</v>
      </c>
      <c r="E172" s="112" t="s">
        <v>68</v>
      </c>
      <c r="F172" s="112" t="s">
        <v>69</v>
      </c>
      <c r="G172" s="112" t="s">
        <v>1084</v>
      </c>
      <c r="H172" s="112" t="s">
        <v>106</v>
      </c>
      <c r="I172" s="176"/>
      <c r="J172" s="114">
        <v>0</v>
      </c>
      <c r="M172" s="265">
        <v>0</v>
      </c>
      <c r="N172" s="234"/>
      <c r="O172" s="234">
        <f t="shared" si="3"/>
        <v>0</v>
      </c>
    </row>
    <row r="173" spans="1:15" ht="94.5">
      <c r="A173" s="156" t="s">
        <v>1135</v>
      </c>
      <c r="B173" s="112" t="s">
        <v>127</v>
      </c>
      <c r="C173" s="112" t="s">
        <v>228</v>
      </c>
      <c r="D173" s="112" t="s">
        <v>223</v>
      </c>
      <c r="E173" s="112" t="s">
        <v>68</v>
      </c>
      <c r="F173" s="112" t="s">
        <v>69</v>
      </c>
      <c r="G173" s="112" t="s">
        <v>1115</v>
      </c>
      <c r="H173" s="112" t="s">
        <v>106</v>
      </c>
      <c r="I173" s="176"/>
      <c r="J173" s="114">
        <v>0</v>
      </c>
      <c r="M173" s="265">
        <v>0</v>
      </c>
      <c r="N173" s="234"/>
      <c r="O173" s="234">
        <f t="shared" si="3"/>
        <v>0</v>
      </c>
    </row>
    <row r="174" spans="1:15" ht="63">
      <c r="A174" s="156" t="s">
        <v>1136</v>
      </c>
      <c r="B174" s="112" t="s">
        <v>127</v>
      </c>
      <c r="C174" s="112" t="s">
        <v>228</v>
      </c>
      <c r="D174" s="112" t="s">
        <v>223</v>
      </c>
      <c r="E174" s="112" t="s">
        <v>68</v>
      </c>
      <c r="F174" s="112" t="s">
        <v>69</v>
      </c>
      <c r="G174" s="112" t="s">
        <v>1116</v>
      </c>
      <c r="H174" s="112" t="s">
        <v>106</v>
      </c>
      <c r="I174" s="176"/>
      <c r="J174" s="114">
        <v>0</v>
      </c>
      <c r="M174" s="265">
        <v>0</v>
      </c>
      <c r="N174" s="234"/>
      <c r="O174" s="234">
        <f t="shared" si="3"/>
        <v>0</v>
      </c>
    </row>
    <row r="175" spans="1:15" ht="94.5">
      <c r="A175" s="180" t="s">
        <v>983</v>
      </c>
      <c r="B175" s="112" t="s">
        <v>127</v>
      </c>
      <c r="C175" s="112" t="s">
        <v>228</v>
      </c>
      <c r="D175" s="112" t="s">
        <v>984</v>
      </c>
      <c r="E175" s="112" t="s">
        <v>68</v>
      </c>
      <c r="F175" s="112" t="s">
        <v>69</v>
      </c>
      <c r="G175" s="112" t="s">
        <v>985</v>
      </c>
      <c r="H175" s="112" t="s">
        <v>106</v>
      </c>
      <c r="I175" s="176"/>
      <c r="J175" s="114">
        <v>0</v>
      </c>
      <c r="M175" s="265">
        <v>0</v>
      </c>
      <c r="N175" s="234"/>
      <c r="O175" s="234">
        <f t="shared" si="3"/>
        <v>0</v>
      </c>
    </row>
    <row r="176" spans="1:15" ht="173.25">
      <c r="A176" s="432" t="s">
        <v>426</v>
      </c>
      <c r="B176" s="112" t="s">
        <v>127</v>
      </c>
      <c r="C176" s="112" t="s">
        <v>228</v>
      </c>
      <c r="D176" s="112" t="s">
        <v>223</v>
      </c>
      <c r="E176" s="112" t="s">
        <v>68</v>
      </c>
      <c r="F176" s="112" t="s">
        <v>69</v>
      </c>
      <c r="G176" s="112" t="s">
        <v>514</v>
      </c>
      <c r="H176" s="112" t="s">
        <v>106</v>
      </c>
      <c r="I176" s="176"/>
      <c r="J176" s="114">
        <v>372615</v>
      </c>
      <c r="M176" s="265">
        <v>372615</v>
      </c>
      <c r="N176" s="234"/>
      <c r="O176" s="234">
        <f t="shared" si="3"/>
        <v>372615</v>
      </c>
    </row>
    <row r="177" spans="1:15" ht="157.5">
      <c r="A177" s="157" t="s">
        <v>1259</v>
      </c>
      <c r="B177" s="112" t="s">
        <v>127</v>
      </c>
      <c r="C177" s="112" t="s">
        <v>228</v>
      </c>
      <c r="D177" s="112" t="s">
        <v>223</v>
      </c>
      <c r="E177" s="112" t="s">
        <v>68</v>
      </c>
      <c r="F177" s="112" t="s">
        <v>69</v>
      </c>
      <c r="G177" s="112" t="s">
        <v>515</v>
      </c>
      <c r="H177" s="112" t="s">
        <v>106</v>
      </c>
      <c r="I177" s="176"/>
      <c r="J177" s="114">
        <v>40520912</v>
      </c>
      <c r="M177" s="265">
        <v>40520912</v>
      </c>
      <c r="N177" s="234"/>
      <c r="O177" s="234">
        <f t="shared" si="3"/>
        <v>40520912</v>
      </c>
    </row>
    <row r="178" spans="1:15" ht="15.75">
      <c r="A178" s="168" t="s">
        <v>229</v>
      </c>
      <c r="B178" s="22" t="s">
        <v>127</v>
      </c>
      <c r="C178" s="22" t="s">
        <v>230</v>
      </c>
      <c r="D178" s="22"/>
      <c r="E178" s="22"/>
      <c r="F178" s="22"/>
      <c r="G178" s="22"/>
      <c r="H178" s="22"/>
      <c r="I178" s="232">
        <f>I179+I193+I200+I201+I202+I203+I208+I209+I204+I205+I206+I207</f>
        <v>0</v>
      </c>
      <c r="J178" s="124">
        <f>J179+J193+J200+J201+J202+J203+J208+J209+J204+J205+J206+J207</f>
        <v>152459533.56000003</v>
      </c>
      <c r="M178" s="265">
        <v>152459533.56000003</v>
      </c>
      <c r="N178" s="234"/>
      <c r="O178" s="234">
        <f t="shared" si="3"/>
        <v>152459533.56000003</v>
      </c>
    </row>
    <row r="179" spans="1:15" ht="15.75">
      <c r="A179" s="173" t="s">
        <v>48</v>
      </c>
      <c r="B179" s="19" t="s">
        <v>127</v>
      </c>
      <c r="C179" s="19" t="s">
        <v>230</v>
      </c>
      <c r="D179" s="19"/>
      <c r="E179" s="19"/>
      <c r="F179" s="19"/>
      <c r="G179" s="19"/>
      <c r="H179" s="19"/>
      <c r="I179" s="482">
        <f>SUM(I180:I192)</f>
        <v>0</v>
      </c>
      <c r="J179" s="223">
        <f>SUM(J180:J192)</f>
        <v>35638654.980000004</v>
      </c>
      <c r="M179" s="265">
        <v>35638654.980000004</v>
      </c>
      <c r="N179" s="234"/>
      <c r="O179" s="234">
        <f t="shared" si="3"/>
        <v>35638654.980000004</v>
      </c>
    </row>
    <row r="180" spans="1:15" ht="78.75">
      <c r="A180" s="156" t="s">
        <v>432</v>
      </c>
      <c r="B180" s="112" t="s">
        <v>127</v>
      </c>
      <c r="C180" s="112" t="s">
        <v>230</v>
      </c>
      <c r="D180" s="112" t="s">
        <v>223</v>
      </c>
      <c r="E180" s="112" t="s">
        <v>60</v>
      </c>
      <c r="F180" s="112" t="s">
        <v>69</v>
      </c>
      <c r="G180" s="112" t="s">
        <v>516</v>
      </c>
      <c r="H180" s="112" t="s">
        <v>106</v>
      </c>
      <c r="I180" s="176"/>
      <c r="J180" s="114">
        <v>5964827.899999999</v>
      </c>
      <c r="M180" s="265">
        <v>5964827.899999999</v>
      </c>
      <c r="N180" s="234"/>
      <c r="O180" s="234">
        <f t="shared" si="3"/>
        <v>5964827.899999999</v>
      </c>
    </row>
    <row r="181" spans="1:15" ht="110.25">
      <c r="A181" s="157" t="s">
        <v>684</v>
      </c>
      <c r="B181" s="112" t="s">
        <v>127</v>
      </c>
      <c r="C181" s="112" t="s">
        <v>230</v>
      </c>
      <c r="D181" s="112" t="s">
        <v>223</v>
      </c>
      <c r="E181" s="112" t="s">
        <v>60</v>
      </c>
      <c r="F181" s="112" t="s">
        <v>69</v>
      </c>
      <c r="G181" s="112" t="s">
        <v>700</v>
      </c>
      <c r="H181" s="112" t="s">
        <v>106</v>
      </c>
      <c r="I181" s="176"/>
      <c r="J181" s="114">
        <v>9686844.88</v>
      </c>
      <c r="M181" s="265">
        <v>9686844.88</v>
      </c>
      <c r="N181" s="234"/>
      <c r="O181" s="234">
        <f t="shared" si="3"/>
        <v>9686844.88</v>
      </c>
    </row>
    <row r="182" spans="1:15" ht="94.5">
      <c r="A182" s="157" t="s">
        <v>685</v>
      </c>
      <c r="B182" s="112" t="s">
        <v>127</v>
      </c>
      <c r="C182" s="112" t="s">
        <v>230</v>
      </c>
      <c r="D182" s="112" t="s">
        <v>223</v>
      </c>
      <c r="E182" s="112" t="s">
        <v>60</v>
      </c>
      <c r="F182" s="112" t="s">
        <v>69</v>
      </c>
      <c r="G182" s="112" t="s">
        <v>701</v>
      </c>
      <c r="H182" s="112" t="s">
        <v>106</v>
      </c>
      <c r="I182" s="176"/>
      <c r="J182" s="114">
        <v>7532485.85</v>
      </c>
      <c r="M182" s="265">
        <v>7532485.85</v>
      </c>
      <c r="N182" s="234"/>
      <c r="O182" s="234">
        <f t="shared" si="3"/>
        <v>7532485.85</v>
      </c>
    </row>
    <row r="183" spans="1:15" ht="78.75">
      <c r="A183" s="157" t="s">
        <v>1095</v>
      </c>
      <c r="B183" s="112" t="s">
        <v>127</v>
      </c>
      <c r="C183" s="112" t="s">
        <v>230</v>
      </c>
      <c r="D183" s="112" t="s">
        <v>223</v>
      </c>
      <c r="E183" s="112" t="s">
        <v>60</v>
      </c>
      <c r="F183" s="112" t="s">
        <v>69</v>
      </c>
      <c r="G183" s="112" t="s">
        <v>1085</v>
      </c>
      <c r="H183" s="112" t="s">
        <v>106</v>
      </c>
      <c r="I183" s="176"/>
      <c r="J183" s="114">
        <v>1565448.57</v>
      </c>
      <c r="M183" s="265">
        <v>1565448.57</v>
      </c>
      <c r="N183" s="234"/>
      <c r="O183" s="234">
        <f t="shared" si="3"/>
        <v>1565448.57</v>
      </c>
    </row>
    <row r="184" spans="1:15" ht="69" customHeight="1">
      <c r="A184" s="157" t="s">
        <v>1096</v>
      </c>
      <c r="B184" s="112" t="s">
        <v>127</v>
      </c>
      <c r="C184" s="112" t="s">
        <v>230</v>
      </c>
      <c r="D184" s="112" t="s">
        <v>223</v>
      </c>
      <c r="E184" s="112" t="s">
        <v>60</v>
      </c>
      <c r="F184" s="112" t="s">
        <v>69</v>
      </c>
      <c r="G184" s="112" t="s">
        <v>1086</v>
      </c>
      <c r="H184" s="112" t="s">
        <v>106</v>
      </c>
      <c r="I184" s="176"/>
      <c r="J184" s="114">
        <v>69220</v>
      </c>
      <c r="M184" s="265">
        <v>69220</v>
      </c>
      <c r="N184" s="234"/>
      <c r="O184" s="234">
        <f t="shared" si="3"/>
        <v>69220</v>
      </c>
    </row>
    <row r="185" spans="1:15" ht="94.5">
      <c r="A185" s="157" t="s">
        <v>1097</v>
      </c>
      <c r="B185" s="112" t="s">
        <v>127</v>
      </c>
      <c r="C185" s="112" t="s">
        <v>230</v>
      </c>
      <c r="D185" s="112" t="s">
        <v>223</v>
      </c>
      <c r="E185" s="112" t="s">
        <v>60</v>
      </c>
      <c r="F185" s="112" t="s">
        <v>69</v>
      </c>
      <c r="G185" s="112" t="s">
        <v>1087</v>
      </c>
      <c r="H185" s="112" t="s">
        <v>106</v>
      </c>
      <c r="I185" s="176"/>
      <c r="J185" s="114">
        <v>34508</v>
      </c>
      <c r="M185" s="265">
        <v>34508</v>
      </c>
      <c r="N185" s="234"/>
      <c r="O185" s="234">
        <f t="shared" si="3"/>
        <v>34508</v>
      </c>
    </row>
    <row r="186" spans="1:15" ht="63">
      <c r="A186" s="157" t="s">
        <v>1137</v>
      </c>
      <c r="B186" s="112" t="s">
        <v>127</v>
      </c>
      <c r="C186" s="112" t="s">
        <v>230</v>
      </c>
      <c r="D186" s="112" t="s">
        <v>223</v>
      </c>
      <c r="E186" s="112" t="s">
        <v>60</v>
      </c>
      <c r="F186" s="112" t="s">
        <v>69</v>
      </c>
      <c r="G186" s="112" t="s">
        <v>1119</v>
      </c>
      <c r="H186" s="112" t="s">
        <v>106</v>
      </c>
      <c r="I186" s="176"/>
      <c r="J186" s="114">
        <v>0</v>
      </c>
      <c r="M186" s="265">
        <v>0</v>
      </c>
      <c r="N186" s="234"/>
      <c r="O186" s="234">
        <f t="shared" si="3"/>
        <v>0</v>
      </c>
    </row>
    <row r="187" spans="1:15" ht="102.75" customHeight="1">
      <c r="A187" s="122" t="s">
        <v>1469</v>
      </c>
      <c r="B187" s="21" t="s">
        <v>127</v>
      </c>
      <c r="C187" s="21" t="s">
        <v>230</v>
      </c>
      <c r="D187" s="21" t="s">
        <v>223</v>
      </c>
      <c r="E187" s="21" t="s">
        <v>60</v>
      </c>
      <c r="F187" s="21" t="s">
        <v>69</v>
      </c>
      <c r="G187" s="21" t="s">
        <v>702</v>
      </c>
      <c r="H187" s="21" t="s">
        <v>106</v>
      </c>
      <c r="I187" s="129"/>
      <c r="J187" s="79">
        <v>0</v>
      </c>
      <c r="M187" s="265">
        <v>0</v>
      </c>
      <c r="N187" s="234"/>
      <c r="O187" s="234">
        <f t="shared" si="3"/>
        <v>0</v>
      </c>
    </row>
    <row r="188" spans="1:15" ht="94.5">
      <c r="A188" s="157" t="s">
        <v>687</v>
      </c>
      <c r="B188" s="112" t="s">
        <v>127</v>
      </c>
      <c r="C188" s="112" t="s">
        <v>230</v>
      </c>
      <c r="D188" s="112" t="s">
        <v>223</v>
      </c>
      <c r="E188" s="112" t="s">
        <v>60</v>
      </c>
      <c r="F188" s="112" t="s">
        <v>69</v>
      </c>
      <c r="G188" s="112" t="s">
        <v>703</v>
      </c>
      <c r="H188" s="112" t="s">
        <v>106</v>
      </c>
      <c r="I188" s="176"/>
      <c r="J188" s="114">
        <f>6864666.73+2001759.23</f>
        <v>8866425.96</v>
      </c>
      <c r="M188" s="265">
        <v>8866425.96</v>
      </c>
      <c r="N188" s="234"/>
      <c r="O188" s="234">
        <f t="shared" si="3"/>
        <v>8866425.96</v>
      </c>
    </row>
    <row r="189" spans="1:15" ht="78.75" hidden="1">
      <c r="A189" s="157" t="s">
        <v>560</v>
      </c>
      <c r="B189" s="112" t="s">
        <v>127</v>
      </c>
      <c r="C189" s="112" t="s">
        <v>230</v>
      </c>
      <c r="D189" s="112" t="s">
        <v>223</v>
      </c>
      <c r="E189" s="112" t="s">
        <v>60</v>
      </c>
      <c r="F189" s="112" t="s">
        <v>69</v>
      </c>
      <c r="G189" s="112" t="s">
        <v>563</v>
      </c>
      <c r="H189" s="112" t="s">
        <v>106</v>
      </c>
      <c r="I189" s="176"/>
      <c r="J189" s="79">
        <v>0</v>
      </c>
      <c r="M189" s="265">
        <v>0</v>
      </c>
      <c r="N189" s="234"/>
      <c r="O189" s="234">
        <f t="shared" si="3"/>
        <v>0</v>
      </c>
    </row>
    <row r="190" spans="1:15" ht="100.5" customHeight="1">
      <c r="A190" s="157" t="s">
        <v>1582</v>
      </c>
      <c r="B190" s="112" t="s">
        <v>127</v>
      </c>
      <c r="C190" s="112" t="s">
        <v>230</v>
      </c>
      <c r="D190" s="112" t="s">
        <v>223</v>
      </c>
      <c r="E190" s="112" t="s">
        <v>60</v>
      </c>
      <c r="F190" s="112" t="s">
        <v>1580</v>
      </c>
      <c r="G190" s="112" t="s">
        <v>1581</v>
      </c>
      <c r="H190" s="112" t="s">
        <v>106</v>
      </c>
      <c r="I190" s="176"/>
      <c r="J190" s="79">
        <v>1568893.82</v>
      </c>
      <c r="M190" s="265">
        <v>1568893.82</v>
      </c>
      <c r="N190" s="234"/>
      <c r="O190" s="234">
        <f t="shared" si="3"/>
        <v>1568893.82</v>
      </c>
    </row>
    <row r="191" spans="1:15" ht="94.5">
      <c r="A191" s="157" t="s">
        <v>678</v>
      </c>
      <c r="B191" s="112" t="s">
        <v>127</v>
      </c>
      <c r="C191" s="112" t="s">
        <v>230</v>
      </c>
      <c r="D191" s="112">
        <v>11</v>
      </c>
      <c r="E191" s="112" t="s">
        <v>68</v>
      </c>
      <c r="F191" s="112" t="s">
        <v>69</v>
      </c>
      <c r="G191" s="112" t="s">
        <v>518</v>
      </c>
      <c r="H191" s="112" t="s">
        <v>106</v>
      </c>
      <c r="I191" s="176"/>
      <c r="J191" s="114">
        <v>350000</v>
      </c>
      <c r="M191" s="265">
        <v>350000</v>
      </c>
      <c r="N191" s="234"/>
      <c r="O191" s="234">
        <f t="shared" si="3"/>
        <v>350000</v>
      </c>
    </row>
    <row r="192" spans="1:15" ht="94.5" hidden="1">
      <c r="A192" s="192" t="s">
        <v>950</v>
      </c>
      <c r="B192" s="112" t="s">
        <v>127</v>
      </c>
      <c r="C192" s="112" t="s">
        <v>230</v>
      </c>
      <c r="D192" s="112" t="s">
        <v>223</v>
      </c>
      <c r="E192" s="112" t="s">
        <v>60</v>
      </c>
      <c r="F192" s="112" t="s">
        <v>69</v>
      </c>
      <c r="G192" s="112" t="s">
        <v>951</v>
      </c>
      <c r="H192" s="112" t="s">
        <v>106</v>
      </c>
      <c r="I192" s="176"/>
      <c r="J192" s="114">
        <v>0</v>
      </c>
      <c r="M192" s="265">
        <v>0</v>
      </c>
      <c r="N192" s="234"/>
      <c r="O192" s="234">
        <f t="shared" si="3"/>
        <v>0</v>
      </c>
    </row>
    <row r="193" spans="1:15" ht="15.75">
      <c r="A193" s="239" t="s">
        <v>286</v>
      </c>
      <c r="B193" s="19" t="s">
        <v>127</v>
      </c>
      <c r="C193" s="19" t="s">
        <v>230</v>
      </c>
      <c r="D193" s="19"/>
      <c r="E193" s="19"/>
      <c r="F193" s="19"/>
      <c r="G193" s="19"/>
      <c r="H193" s="19"/>
      <c r="I193" s="482">
        <f>SUM(I194:I199)</f>
        <v>0</v>
      </c>
      <c r="J193" s="221">
        <f>SUM(J194:J199)</f>
        <v>19998616.75</v>
      </c>
      <c r="M193" s="265">
        <v>19998616.75</v>
      </c>
      <c r="N193" s="234"/>
      <c r="O193" s="234">
        <f t="shared" si="3"/>
        <v>19998616.75</v>
      </c>
    </row>
    <row r="194" spans="1:15" ht="94.5">
      <c r="A194" s="156" t="s">
        <v>519</v>
      </c>
      <c r="B194" s="112" t="s">
        <v>127</v>
      </c>
      <c r="C194" s="112" t="s">
        <v>230</v>
      </c>
      <c r="D194" s="112" t="s">
        <v>223</v>
      </c>
      <c r="E194" s="112" t="s">
        <v>60</v>
      </c>
      <c r="F194" s="112" t="s">
        <v>69</v>
      </c>
      <c r="G194" s="112" t="s">
        <v>520</v>
      </c>
      <c r="H194" s="112" t="s">
        <v>159</v>
      </c>
      <c r="I194" s="176"/>
      <c r="J194" s="114">
        <v>8368672.09</v>
      </c>
      <c r="M194" s="265">
        <v>8368672.09</v>
      </c>
      <c r="N194" s="234"/>
      <c r="O194" s="234">
        <f t="shared" si="3"/>
        <v>8368672.09</v>
      </c>
    </row>
    <row r="195" spans="1:15" ht="47.25">
      <c r="A195" s="156" t="s">
        <v>592</v>
      </c>
      <c r="B195" s="112" t="s">
        <v>127</v>
      </c>
      <c r="C195" s="112" t="s">
        <v>230</v>
      </c>
      <c r="D195" s="112" t="s">
        <v>223</v>
      </c>
      <c r="E195" s="112" t="s">
        <v>60</v>
      </c>
      <c r="F195" s="112" t="s">
        <v>69</v>
      </c>
      <c r="G195" s="112" t="s">
        <v>520</v>
      </c>
      <c r="H195" s="112" t="s">
        <v>160</v>
      </c>
      <c r="I195" s="176"/>
      <c r="J195" s="114">
        <v>9995336.74</v>
      </c>
      <c r="M195" s="265">
        <v>9995336.74</v>
      </c>
      <c r="N195" s="234"/>
      <c r="O195" s="234">
        <f t="shared" si="3"/>
        <v>9995336.74</v>
      </c>
    </row>
    <row r="196" spans="1:15" ht="31.5">
      <c r="A196" s="156" t="s">
        <v>436</v>
      </c>
      <c r="B196" s="112" t="s">
        <v>127</v>
      </c>
      <c r="C196" s="112" t="s">
        <v>230</v>
      </c>
      <c r="D196" s="112" t="s">
        <v>223</v>
      </c>
      <c r="E196" s="112" t="s">
        <v>60</v>
      </c>
      <c r="F196" s="112" t="s">
        <v>69</v>
      </c>
      <c r="G196" s="112" t="s">
        <v>520</v>
      </c>
      <c r="H196" s="112" t="s">
        <v>161</v>
      </c>
      <c r="I196" s="176"/>
      <c r="J196" s="114">
        <v>178607.92</v>
      </c>
      <c r="M196" s="265">
        <v>178607.92</v>
      </c>
      <c r="N196" s="234"/>
      <c r="O196" s="234">
        <f t="shared" si="3"/>
        <v>178607.92</v>
      </c>
    </row>
    <row r="197" spans="1:15" ht="63">
      <c r="A197" s="157" t="s">
        <v>593</v>
      </c>
      <c r="B197" s="112" t="s">
        <v>127</v>
      </c>
      <c r="C197" s="112" t="s">
        <v>230</v>
      </c>
      <c r="D197" s="112" t="s">
        <v>223</v>
      </c>
      <c r="E197" s="112" t="s">
        <v>60</v>
      </c>
      <c r="F197" s="112" t="s">
        <v>69</v>
      </c>
      <c r="G197" s="112" t="s">
        <v>564</v>
      </c>
      <c r="H197" s="112" t="s">
        <v>160</v>
      </c>
      <c r="I197" s="176"/>
      <c r="J197" s="79">
        <v>0</v>
      </c>
      <c r="M197" s="265">
        <v>0</v>
      </c>
      <c r="N197" s="234"/>
      <c r="O197" s="234">
        <f t="shared" si="3"/>
        <v>0</v>
      </c>
    </row>
    <row r="198" spans="1:15" ht="110.25">
      <c r="A198" s="157" t="s">
        <v>723</v>
      </c>
      <c r="B198" s="112" t="s">
        <v>127</v>
      </c>
      <c r="C198" s="112" t="s">
        <v>230</v>
      </c>
      <c r="D198" s="112">
        <v>11</v>
      </c>
      <c r="E198" s="112" t="s">
        <v>68</v>
      </c>
      <c r="F198" s="112" t="s">
        <v>69</v>
      </c>
      <c r="G198" s="112" t="s">
        <v>679</v>
      </c>
      <c r="H198" s="112" t="s">
        <v>159</v>
      </c>
      <c r="I198" s="176"/>
      <c r="J198" s="114">
        <v>56000</v>
      </c>
      <c r="M198" s="265">
        <v>56000</v>
      </c>
      <c r="N198" s="234"/>
      <c r="O198" s="234">
        <f t="shared" si="3"/>
        <v>56000</v>
      </c>
    </row>
    <row r="199" spans="1:15" ht="66.75" customHeight="1">
      <c r="A199" s="157" t="s">
        <v>594</v>
      </c>
      <c r="B199" s="112" t="s">
        <v>127</v>
      </c>
      <c r="C199" s="112" t="s">
        <v>230</v>
      </c>
      <c r="D199" s="112" t="s">
        <v>223</v>
      </c>
      <c r="E199" s="112" t="s">
        <v>60</v>
      </c>
      <c r="F199" s="112" t="s">
        <v>69</v>
      </c>
      <c r="G199" s="112" t="s">
        <v>521</v>
      </c>
      <c r="H199" s="112" t="s">
        <v>160</v>
      </c>
      <c r="I199" s="176"/>
      <c r="J199" s="114">
        <v>1400000</v>
      </c>
      <c r="M199" s="265">
        <v>1400000</v>
      </c>
      <c r="N199" s="234"/>
      <c r="O199" s="234">
        <f t="shared" si="3"/>
        <v>1400000</v>
      </c>
    </row>
    <row r="200" spans="1:15" ht="126">
      <c r="A200" s="156" t="s">
        <v>709</v>
      </c>
      <c r="B200" s="112" t="s">
        <v>127</v>
      </c>
      <c r="C200" s="112" t="s">
        <v>230</v>
      </c>
      <c r="D200" s="112" t="s">
        <v>223</v>
      </c>
      <c r="E200" s="112" t="s">
        <v>60</v>
      </c>
      <c r="F200" s="112" t="s">
        <v>69</v>
      </c>
      <c r="G200" s="112" t="s">
        <v>522</v>
      </c>
      <c r="H200" s="112" t="s">
        <v>160</v>
      </c>
      <c r="I200" s="176"/>
      <c r="J200" s="114">
        <v>37380</v>
      </c>
      <c r="M200" s="265">
        <v>37380</v>
      </c>
      <c r="N200" s="234"/>
      <c r="O200" s="234">
        <f t="shared" si="3"/>
        <v>37380</v>
      </c>
    </row>
    <row r="201" spans="1:15" ht="252">
      <c r="A201" s="157" t="s">
        <v>710</v>
      </c>
      <c r="B201" s="112" t="s">
        <v>127</v>
      </c>
      <c r="C201" s="112" t="s">
        <v>230</v>
      </c>
      <c r="D201" s="112" t="s">
        <v>223</v>
      </c>
      <c r="E201" s="112" t="s">
        <v>60</v>
      </c>
      <c r="F201" s="112" t="s">
        <v>69</v>
      </c>
      <c r="G201" s="112" t="s">
        <v>523</v>
      </c>
      <c r="H201" s="112" t="s">
        <v>159</v>
      </c>
      <c r="I201" s="176"/>
      <c r="J201" s="114">
        <v>14878957</v>
      </c>
      <c r="M201" s="265">
        <v>14878957</v>
      </c>
      <c r="N201" s="234"/>
      <c r="O201" s="234">
        <f t="shared" si="3"/>
        <v>14878957</v>
      </c>
    </row>
    <row r="202" spans="1:15" ht="204.75">
      <c r="A202" s="157" t="s">
        <v>711</v>
      </c>
      <c r="B202" s="112" t="s">
        <v>127</v>
      </c>
      <c r="C202" s="112" t="s">
        <v>230</v>
      </c>
      <c r="D202" s="112" t="s">
        <v>223</v>
      </c>
      <c r="E202" s="112" t="s">
        <v>60</v>
      </c>
      <c r="F202" s="112" t="s">
        <v>69</v>
      </c>
      <c r="G202" s="112" t="s">
        <v>523</v>
      </c>
      <c r="H202" s="112" t="s">
        <v>160</v>
      </c>
      <c r="I202" s="176"/>
      <c r="J202" s="114">
        <v>206451</v>
      </c>
      <c r="M202" s="265">
        <v>206451</v>
      </c>
      <c r="N202" s="234"/>
      <c r="O202" s="234">
        <f t="shared" si="3"/>
        <v>206451</v>
      </c>
    </row>
    <row r="203" spans="1:15" ht="204.75">
      <c r="A203" s="157" t="s">
        <v>712</v>
      </c>
      <c r="B203" s="112" t="s">
        <v>127</v>
      </c>
      <c r="C203" s="112" t="s">
        <v>230</v>
      </c>
      <c r="D203" s="112" t="s">
        <v>223</v>
      </c>
      <c r="E203" s="112" t="s">
        <v>60</v>
      </c>
      <c r="F203" s="112" t="s">
        <v>69</v>
      </c>
      <c r="G203" s="112" t="s">
        <v>523</v>
      </c>
      <c r="H203" s="112" t="s">
        <v>106</v>
      </c>
      <c r="I203" s="176"/>
      <c r="J203" s="114">
        <v>64036250</v>
      </c>
      <c r="M203" s="265">
        <v>64036250</v>
      </c>
      <c r="N203" s="234"/>
      <c r="O203" s="234">
        <f t="shared" si="3"/>
        <v>64036250</v>
      </c>
    </row>
    <row r="204" spans="1:15" ht="127.5" customHeight="1">
      <c r="A204" s="157" t="s">
        <v>1602</v>
      </c>
      <c r="B204" s="112" t="s">
        <v>127</v>
      </c>
      <c r="C204" s="112" t="s">
        <v>230</v>
      </c>
      <c r="D204" s="112" t="s">
        <v>223</v>
      </c>
      <c r="E204" s="112" t="s">
        <v>60</v>
      </c>
      <c r="F204" s="112" t="s">
        <v>69</v>
      </c>
      <c r="G204" s="112" t="s">
        <v>1373</v>
      </c>
      <c r="H204" s="112" t="s">
        <v>159</v>
      </c>
      <c r="I204" s="176"/>
      <c r="J204" s="114">
        <v>1406160</v>
      </c>
      <c r="M204" s="265">
        <v>1406160</v>
      </c>
      <c r="N204" s="157" t="s">
        <v>1375</v>
      </c>
      <c r="O204" s="234">
        <f t="shared" si="3"/>
        <v>1406160</v>
      </c>
    </row>
    <row r="205" spans="1:15" ht="83.25" customHeight="1">
      <c r="A205" s="157" t="s">
        <v>1603</v>
      </c>
      <c r="B205" s="112" t="s">
        <v>127</v>
      </c>
      <c r="C205" s="112" t="s">
        <v>230</v>
      </c>
      <c r="D205" s="112" t="s">
        <v>223</v>
      </c>
      <c r="E205" s="112" t="s">
        <v>60</v>
      </c>
      <c r="F205" s="112" t="s">
        <v>69</v>
      </c>
      <c r="G205" s="112" t="s">
        <v>1373</v>
      </c>
      <c r="H205" s="112" t="s">
        <v>106</v>
      </c>
      <c r="I205" s="176"/>
      <c r="J205" s="114">
        <v>4843440</v>
      </c>
      <c r="M205" s="265">
        <v>4843440</v>
      </c>
      <c r="N205" s="157" t="s">
        <v>1374</v>
      </c>
      <c r="O205" s="234">
        <f t="shared" si="3"/>
        <v>4843440</v>
      </c>
    </row>
    <row r="206" spans="1:15" ht="81" customHeight="1">
      <c r="A206" s="157" t="s">
        <v>1404</v>
      </c>
      <c r="B206" s="112" t="s">
        <v>127</v>
      </c>
      <c r="C206" s="112" t="s">
        <v>230</v>
      </c>
      <c r="D206" s="112" t="s">
        <v>223</v>
      </c>
      <c r="E206" s="112" t="s">
        <v>60</v>
      </c>
      <c r="F206" s="112" t="s">
        <v>69</v>
      </c>
      <c r="G206" s="112" t="s">
        <v>1538</v>
      </c>
      <c r="H206" s="112" t="s">
        <v>160</v>
      </c>
      <c r="I206" s="176"/>
      <c r="J206" s="114">
        <v>798090.31</v>
      </c>
      <c r="L206" s="104">
        <v>329202.72</v>
      </c>
      <c r="M206" s="265">
        <v>798090.31</v>
      </c>
      <c r="N206" s="234"/>
      <c r="O206" s="234">
        <f t="shared" si="3"/>
        <v>798090.31</v>
      </c>
    </row>
    <row r="207" spans="1:15" ht="93" customHeight="1">
      <c r="A207" s="157" t="s">
        <v>1539</v>
      </c>
      <c r="B207" s="112" t="s">
        <v>127</v>
      </c>
      <c r="C207" s="112" t="s">
        <v>230</v>
      </c>
      <c r="D207" s="112" t="s">
        <v>223</v>
      </c>
      <c r="E207" s="112" t="s">
        <v>60</v>
      </c>
      <c r="F207" s="112" t="s">
        <v>69</v>
      </c>
      <c r="G207" s="112" t="s">
        <v>1538</v>
      </c>
      <c r="H207" s="112" t="s">
        <v>106</v>
      </c>
      <c r="I207" s="176"/>
      <c r="J207" s="114">
        <v>5008873.52</v>
      </c>
      <c r="L207" s="104">
        <v>2073549.6</v>
      </c>
      <c r="M207" s="265">
        <v>5008873.52</v>
      </c>
      <c r="N207" s="234"/>
      <c r="O207" s="234">
        <f t="shared" si="3"/>
        <v>5008873.52</v>
      </c>
    </row>
    <row r="208" spans="1:15" ht="78.75">
      <c r="A208" s="157" t="s">
        <v>1141</v>
      </c>
      <c r="B208" s="112" t="s">
        <v>127</v>
      </c>
      <c r="C208" s="112" t="s">
        <v>230</v>
      </c>
      <c r="D208" s="112" t="s">
        <v>517</v>
      </c>
      <c r="E208" s="112" t="s">
        <v>114</v>
      </c>
      <c r="F208" s="112" t="s">
        <v>1167</v>
      </c>
      <c r="G208" s="112" t="s">
        <v>1168</v>
      </c>
      <c r="H208" s="112" t="s">
        <v>160</v>
      </c>
      <c r="I208" s="176"/>
      <c r="J208" s="114">
        <v>0</v>
      </c>
      <c r="M208" s="265">
        <v>0</v>
      </c>
      <c r="N208" s="234"/>
      <c r="O208" s="234">
        <f t="shared" si="3"/>
        <v>0</v>
      </c>
    </row>
    <row r="209" spans="1:15" ht="204.75">
      <c r="A209" s="157" t="s">
        <v>469</v>
      </c>
      <c r="B209" s="112" t="s">
        <v>127</v>
      </c>
      <c r="C209" s="112" t="s">
        <v>230</v>
      </c>
      <c r="D209" s="112" t="s">
        <v>158</v>
      </c>
      <c r="E209" s="112" t="s">
        <v>114</v>
      </c>
      <c r="F209" s="112" t="s">
        <v>489</v>
      </c>
      <c r="G209" s="112" t="s">
        <v>524</v>
      </c>
      <c r="H209" s="112" t="s">
        <v>106</v>
      </c>
      <c r="I209" s="176"/>
      <c r="J209" s="114">
        <v>5606660</v>
      </c>
      <c r="M209" s="265">
        <v>5606660</v>
      </c>
      <c r="N209" s="234"/>
      <c r="O209" s="234">
        <f t="shared" si="3"/>
        <v>5606660</v>
      </c>
    </row>
    <row r="210" spans="1:15" ht="15.75">
      <c r="A210" s="120" t="s">
        <v>706</v>
      </c>
      <c r="B210" s="22" t="s">
        <v>127</v>
      </c>
      <c r="C210" s="22" t="s">
        <v>705</v>
      </c>
      <c r="D210" s="22"/>
      <c r="E210" s="22"/>
      <c r="F210" s="22"/>
      <c r="G210" s="22"/>
      <c r="H210" s="22"/>
      <c r="I210" s="480">
        <f>SUM(I211:I218)</f>
        <v>0</v>
      </c>
      <c r="J210" s="172">
        <f>SUM(J211:J218)</f>
        <v>6574413.0600000005</v>
      </c>
      <c r="M210" s="265">
        <v>6574413.0600000005</v>
      </c>
      <c r="N210" s="234"/>
      <c r="O210" s="234">
        <f t="shared" si="3"/>
        <v>6574413.0600000005</v>
      </c>
    </row>
    <row r="211" spans="1:15" ht="99" customHeight="1">
      <c r="A211" s="157" t="s">
        <v>525</v>
      </c>
      <c r="B211" s="112" t="s">
        <v>127</v>
      </c>
      <c r="C211" s="112" t="s">
        <v>705</v>
      </c>
      <c r="D211" s="112" t="s">
        <v>223</v>
      </c>
      <c r="E211" s="112" t="s">
        <v>224</v>
      </c>
      <c r="F211" s="112" t="s">
        <v>69</v>
      </c>
      <c r="G211" s="112" t="s">
        <v>526</v>
      </c>
      <c r="H211" s="112" t="s">
        <v>106</v>
      </c>
      <c r="I211" s="176"/>
      <c r="J211" s="171">
        <f>5817031.41-J212</f>
        <v>5809510.99</v>
      </c>
      <c r="M211" s="265">
        <v>5809510.99</v>
      </c>
      <c r="N211" s="234"/>
      <c r="O211" s="234">
        <f t="shared" si="3"/>
        <v>5809510.99</v>
      </c>
    </row>
    <row r="212" spans="1:15" ht="102.75" customHeight="1">
      <c r="A212" s="157" t="s">
        <v>838</v>
      </c>
      <c r="B212" s="112" t="s">
        <v>127</v>
      </c>
      <c r="C212" s="112" t="s">
        <v>705</v>
      </c>
      <c r="D212" s="112" t="s">
        <v>223</v>
      </c>
      <c r="E212" s="112" t="s">
        <v>224</v>
      </c>
      <c r="F212" s="112" t="s">
        <v>69</v>
      </c>
      <c r="G212" s="112" t="s">
        <v>840</v>
      </c>
      <c r="H212" s="112" t="s">
        <v>106</v>
      </c>
      <c r="I212" s="176"/>
      <c r="J212" s="169">
        <v>7520.42</v>
      </c>
      <c r="M212" s="265">
        <v>7520.42</v>
      </c>
      <c r="N212" s="234"/>
      <c r="O212" s="234">
        <f t="shared" si="3"/>
        <v>7520.42</v>
      </c>
    </row>
    <row r="213" spans="1:15" ht="110.25">
      <c r="A213" s="157" t="s">
        <v>704</v>
      </c>
      <c r="B213" s="112" t="s">
        <v>127</v>
      </c>
      <c r="C213" s="112" t="s">
        <v>705</v>
      </c>
      <c r="D213" s="112" t="s">
        <v>223</v>
      </c>
      <c r="E213" s="112" t="s">
        <v>224</v>
      </c>
      <c r="F213" s="112" t="s">
        <v>69</v>
      </c>
      <c r="G213" s="112" t="s">
        <v>527</v>
      </c>
      <c r="H213" s="112" t="s">
        <v>106</v>
      </c>
      <c r="I213" s="176"/>
      <c r="J213" s="169">
        <v>619181.65</v>
      </c>
      <c r="M213" s="265">
        <v>619181.65</v>
      </c>
      <c r="N213" s="234"/>
      <c r="O213" s="234">
        <f t="shared" si="3"/>
        <v>619181.65</v>
      </c>
    </row>
    <row r="214" spans="1:15" ht="78.75">
      <c r="A214" s="157" t="s">
        <v>1112</v>
      </c>
      <c r="B214" s="112" t="s">
        <v>127</v>
      </c>
      <c r="C214" s="112" t="s">
        <v>705</v>
      </c>
      <c r="D214" s="112" t="s">
        <v>223</v>
      </c>
      <c r="E214" s="112" t="s">
        <v>224</v>
      </c>
      <c r="F214" s="112" t="s">
        <v>69</v>
      </c>
      <c r="G214" s="112" t="s">
        <v>1113</v>
      </c>
      <c r="H214" s="112" t="s">
        <v>106</v>
      </c>
      <c r="I214" s="176"/>
      <c r="J214" s="169">
        <v>0</v>
      </c>
      <c r="M214" s="265">
        <v>0</v>
      </c>
      <c r="N214" s="234"/>
      <c r="O214" s="234">
        <f t="shared" si="3"/>
        <v>0</v>
      </c>
    </row>
    <row r="215" spans="1:15" ht="78.75">
      <c r="A215" s="186" t="s">
        <v>1138</v>
      </c>
      <c r="B215" s="112" t="s">
        <v>127</v>
      </c>
      <c r="C215" s="112" t="s">
        <v>705</v>
      </c>
      <c r="D215" s="112" t="s">
        <v>223</v>
      </c>
      <c r="E215" s="112" t="s">
        <v>224</v>
      </c>
      <c r="F215" s="112" t="s">
        <v>69</v>
      </c>
      <c r="G215" s="112" t="s">
        <v>1123</v>
      </c>
      <c r="H215" s="112" t="s">
        <v>106</v>
      </c>
      <c r="I215" s="176"/>
      <c r="J215" s="169">
        <v>0</v>
      </c>
      <c r="M215" s="265">
        <v>0</v>
      </c>
      <c r="N215" s="234"/>
      <c r="O215" s="234">
        <f t="shared" si="3"/>
        <v>0</v>
      </c>
    </row>
    <row r="216" spans="1:15" ht="94.5">
      <c r="A216" s="186" t="s">
        <v>1139</v>
      </c>
      <c r="B216" s="112" t="s">
        <v>127</v>
      </c>
      <c r="C216" s="112" t="s">
        <v>705</v>
      </c>
      <c r="D216" s="112" t="s">
        <v>223</v>
      </c>
      <c r="E216" s="112" t="s">
        <v>224</v>
      </c>
      <c r="F216" s="112" t="s">
        <v>69</v>
      </c>
      <c r="G216" s="112" t="s">
        <v>1124</v>
      </c>
      <c r="H216" s="112" t="s">
        <v>106</v>
      </c>
      <c r="I216" s="176"/>
      <c r="J216" s="169">
        <v>0</v>
      </c>
      <c r="M216" s="265">
        <v>0</v>
      </c>
      <c r="N216" s="234"/>
      <c r="O216" s="234">
        <f t="shared" si="3"/>
        <v>0</v>
      </c>
    </row>
    <row r="217" spans="1:15" ht="47.25">
      <c r="A217" s="128" t="s">
        <v>1310</v>
      </c>
      <c r="B217" s="177">
        <v>909</v>
      </c>
      <c r="C217" s="178" t="s">
        <v>705</v>
      </c>
      <c r="D217" s="178" t="s">
        <v>223</v>
      </c>
      <c r="E217" s="178" t="s">
        <v>224</v>
      </c>
      <c r="F217" s="178" t="s">
        <v>69</v>
      </c>
      <c r="G217" s="62" t="s">
        <v>1470</v>
      </c>
      <c r="H217" s="178" t="s">
        <v>106</v>
      </c>
      <c r="I217" s="176"/>
      <c r="J217" s="181">
        <v>138200</v>
      </c>
      <c r="M217" s="265">
        <v>138200</v>
      </c>
      <c r="N217" s="234"/>
      <c r="O217" s="234">
        <f t="shared" si="3"/>
        <v>138200</v>
      </c>
    </row>
    <row r="218" spans="1:15" ht="63">
      <c r="A218" s="186" t="s">
        <v>1140</v>
      </c>
      <c r="B218" s="112" t="s">
        <v>127</v>
      </c>
      <c r="C218" s="112" t="s">
        <v>705</v>
      </c>
      <c r="D218" s="112" t="s">
        <v>223</v>
      </c>
      <c r="E218" s="112" t="s">
        <v>224</v>
      </c>
      <c r="F218" s="112" t="s">
        <v>69</v>
      </c>
      <c r="G218" s="112" t="s">
        <v>1125</v>
      </c>
      <c r="H218" s="112" t="s">
        <v>106</v>
      </c>
      <c r="I218" s="176"/>
      <c r="J218" s="169">
        <v>0</v>
      </c>
      <c r="M218" s="265">
        <v>0</v>
      </c>
      <c r="N218" s="234"/>
      <c r="O218" s="234">
        <f t="shared" si="3"/>
        <v>0</v>
      </c>
    </row>
    <row r="219" spans="1:15" ht="15.75">
      <c r="A219" s="174" t="s">
        <v>135</v>
      </c>
      <c r="B219" s="22" t="s">
        <v>127</v>
      </c>
      <c r="C219" s="22" t="s">
        <v>136</v>
      </c>
      <c r="D219" s="22"/>
      <c r="E219" s="22"/>
      <c r="F219" s="22"/>
      <c r="G219" s="22"/>
      <c r="H219" s="22"/>
      <c r="I219" s="232">
        <f>SUM(I220:I222)</f>
        <v>0</v>
      </c>
      <c r="J219" s="124">
        <f>SUM(J220:J222)</f>
        <v>579348</v>
      </c>
      <c r="M219" s="265">
        <v>579348</v>
      </c>
      <c r="N219" s="234"/>
      <c r="O219" s="234">
        <f t="shared" si="3"/>
        <v>579348</v>
      </c>
    </row>
    <row r="220" spans="1:15" ht="63">
      <c r="A220" s="157" t="s">
        <v>596</v>
      </c>
      <c r="B220" s="177">
        <v>909</v>
      </c>
      <c r="C220" s="178" t="s">
        <v>136</v>
      </c>
      <c r="D220" s="178" t="s">
        <v>223</v>
      </c>
      <c r="E220" s="178" t="s">
        <v>60</v>
      </c>
      <c r="F220" s="178" t="s">
        <v>69</v>
      </c>
      <c r="G220" s="178" t="s">
        <v>724</v>
      </c>
      <c r="H220" s="178" t="s">
        <v>160</v>
      </c>
      <c r="I220" s="176"/>
      <c r="J220" s="181">
        <f>71148+63525</f>
        <v>134673</v>
      </c>
      <c r="M220" s="265">
        <v>134673</v>
      </c>
      <c r="N220" s="234"/>
      <c r="O220" s="234">
        <f t="shared" si="3"/>
        <v>134673</v>
      </c>
    </row>
    <row r="221" spans="1:15" ht="78.75">
      <c r="A221" s="157" t="s">
        <v>1329</v>
      </c>
      <c r="B221" s="177">
        <v>909</v>
      </c>
      <c r="C221" s="178" t="s">
        <v>136</v>
      </c>
      <c r="D221" s="178" t="s">
        <v>223</v>
      </c>
      <c r="E221" s="178" t="s">
        <v>60</v>
      </c>
      <c r="F221" s="178" t="s">
        <v>69</v>
      </c>
      <c r="G221" s="178" t="s">
        <v>724</v>
      </c>
      <c r="H221" s="178" t="s">
        <v>106</v>
      </c>
      <c r="I221" s="176"/>
      <c r="J221" s="114">
        <v>393855</v>
      </c>
      <c r="M221" s="265">
        <v>393855</v>
      </c>
      <c r="N221" s="234"/>
      <c r="O221" s="234">
        <f t="shared" si="3"/>
        <v>393855</v>
      </c>
    </row>
    <row r="222" spans="1:15" ht="94.5">
      <c r="A222" s="156" t="s">
        <v>677</v>
      </c>
      <c r="B222" s="112" t="s">
        <v>127</v>
      </c>
      <c r="C222" s="112" t="s">
        <v>136</v>
      </c>
      <c r="D222" s="178" t="s">
        <v>223</v>
      </c>
      <c r="E222" s="178" t="s">
        <v>60</v>
      </c>
      <c r="F222" s="112" t="s">
        <v>69</v>
      </c>
      <c r="G222" s="112" t="s">
        <v>529</v>
      </c>
      <c r="H222" s="112" t="s">
        <v>106</v>
      </c>
      <c r="I222" s="176"/>
      <c r="J222" s="169">
        <v>50820</v>
      </c>
      <c r="M222" s="265">
        <v>50820</v>
      </c>
      <c r="N222" s="234"/>
      <c r="O222" s="234">
        <f t="shared" si="3"/>
        <v>50820</v>
      </c>
    </row>
    <row r="223" spans="1:15" ht="15.75">
      <c r="A223" s="168" t="s">
        <v>231</v>
      </c>
      <c r="B223" s="22" t="s">
        <v>127</v>
      </c>
      <c r="C223" s="22" t="s">
        <v>232</v>
      </c>
      <c r="D223" s="22"/>
      <c r="E223" s="22"/>
      <c r="F223" s="22"/>
      <c r="G223" s="22"/>
      <c r="H223" s="22"/>
      <c r="I223" s="232">
        <f>SUM(I224:I229)</f>
        <v>0</v>
      </c>
      <c r="J223" s="124">
        <f>SUM(J224:J229)</f>
        <v>9129021.330000002</v>
      </c>
      <c r="M223" s="265">
        <v>9129021.330000002</v>
      </c>
      <c r="N223" s="234"/>
      <c r="O223" s="234">
        <f t="shared" si="3"/>
        <v>9129021.330000002</v>
      </c>
    </row>
    <row r="224" spans="1:15" ht="115.5" customHeight="1">
      <c r="A224" s="156" t="s">
        <v>535</v>
      </c>
      <c r="B224" s="112" t="s">
        <v>127</v>
      </c>
      <c r="C224" s="112" t="s">
        <v>232</v>
      </c>
      <c r="D224" s="112" t="s">
        <v>115</v>
      </c>
      <c r="E224" s="112" t="s">
        <v>60</v>
      </c>
      <c r="F224" s="112" t="s">
        <v>115</v>
      </c>
      <c r="G224" s="112" t="s">
        <v>531</v>
      </c>
      <c r="H224" s="112" t="s">
        <v>159</v>
      </c>
      <c r="I224" s="176"/>
      <c r="J224" s="169">
        <f>4278731.61+180013.49</f>
        <v>4458745.100000001</v>
      </c>
      <c r="M224" s="265">
        <v>4458745.100000001</v>
      </c>
      <c r="N224" s="234"/>
      <c r="O224" s="234">
        <f t="shared" si="3"/>
        <v>4458745.100000001</v>
      </c>
    </row>
    <row r="225" spans="1:15" ht="72" customHeight="1">
      <c r="A225" s="156" t="s">
        <v>581</v>
      </c>
      <c r="B225" s="112" t="s">
        <v>127</v>
      </c>
      <c r="C225" s="112" t="s">
        <v>232</v>
      </c>
      <c r="D225" s="112" t="s">
        <v>115</v>
      </c>
      <c r="E225" s="112" t="s">
        <v>60</v>
      </c>
      <c r="F225" s="112" t="s">
        <v>115</v>
      </c>
      <c r="G225" s="112" t="s">
        <v>531</v>
      </c>
      <c r="H225" s="112" t="s">
        <v>160</v>
      </c>
      <c r="I225" s="176"/>
      <c r="J225" s="114">
        <v>784950.65</v>
      </c>
      <c r="M225" s="265">
        <v>784950.65</v>
      </c>
      <c r="N225" s="234"/>
      <c r="O225" s="234">
        <f t="shared" si="3"/>
        <v>784950.65</v>
      </c>
    </row>
    <row r="226" spans="1:16" ht="47.25">
      <c r="A226" s="156" t="s">
        <v>530</v>
      </c>
      <c r="B226" s="112" t="s">
        <v>127</v>
      </c>
      <c r="C226" s="112" t="s">
        <v>232</v>
      </c>
      <c r="D226" s="112" t="s">
        <v>115</v>
      </c>
      <c r="E226" s="112" t="s">
        <v>60</v>
      </c>
      <c r="F226" s="112" t="s">
        <v>115</v>
      </c>
      <c r="G226" s="112" t="s">
        <v>531</v>
      </c>
      <c r="H226" s="112" t="s">
        <v>161</v>
      </c>
      <c r="I226" s="176"/>
      <c r="J226" s="114">
        <v>0</v>
      </c>
      <c r="M226" s="265">
        <v>0</v>
      </c>
      <c r="N226" s="234"/>
      <c r="O226" s="234">
        <f t="shared" si="3"/>
        <v>0</v>
      </c>
      <c r="P226" s="412"/>
    </row>
    <row r="227" spans="1:16" ht="68.25" customHeight="1">
      <c r="A227" s="156" t="s">
        <v>1568</v>
      </c>
      <c r="B227" s="112" t="s">
        <v>127</v>
      </c>
      <c r="C227" s="112" t="s">
        <v>232</v>
      </c>
      <c r="D227" s="112" t="s">
        <v>223</v>
      </c>
      <c r="E227" s="112" t="s">
        <v>60</v>
      </c>
      <c r="F227" s="112" t="s">
        <v>1331</v>
      </c>
      <c r="G227" s="112" t="s">
        <v>1332</v>
      </c>
      <c r="H227" s="112" t="s">
        <v>160</v>
      </c>
      <c r="I227" s="176"/>
      <c r="J227" s="114">
        <v>0</v>
      </c>
      <c r="M227" s="265">
        <v>0</v>
      </c>
      <c r="N227" s="234"/>
      <c r="O227" s="234">
        <f aca="true" t="shared" si="4" ref="O227:O265">M227+I227</f>
        <v>0</v>
      </c>
      <c r="P227" s="473"/>
    </row>
    <row r="228" spans="1:16" ht="84.75" customHeight="1">
      <c r="A228" s="156" t="s">
        <v>1569</v>
      </c>
      <c r="B228" s="112" t="s">
        <v>127</v>
      </c>
      <c r="C228" s="112" t="s">
        <v>232</v>
      </c>
      <c r="D228" s="112" t="s">
        <v>223</v>
      </c>
      <c r="E228" s="112" t="s">
        <v>60</v>
      </c>
      <c r="F228" s="112" t="s">
        <v>1331</v>
      </c>
      <c r="G228" s="112" t="s">
        <v>1332</v>
      </c>
      <c r="H228" s="112" t="s">
        <v>106</v>
      </c>
      <c r="I228" s="176"/>
      <c r="J228" s="114">
        <v>3799488.58</v>
      </c>
      <c r="M228" s="265">
        <v>3799488.58</v>
      </c>
      <c r="N228" s="234"/>
      <c r="O228" s="234">
        <f t="shared" si="4"/>
        <v>3799488.58</v>
      </c>
      <c r="P228" s="473"/>
    </row>
    <row r="229" spans="1:15" ht="78.75">
      <c r="A229" s="63" t="s">
        <v>954</v>
      </c>
      <c r="B229" s="112" t="s">
        <v>127</v>
      </c>
      <c r="C229" s="112" t="s">
        <v>232</v>
      </c>
      <c r="D229" s="112" t="s">
        <v>223</v>
      </c>
      <c r="E229" s="112" t="s">
        <v>60</v>
      </c>
      <c r="F229" s="112" t="s">
        <v>115</v>
      </c>
      <c r="G229" s="112" t="s">
        <v>963</v>
      </c>
      <c r="H229" s="112" t="s">
        <v>106</v>
      </c>
      <c r="I229" s="176"/>
      <c r="J229" s="114">
        <v>85837</v>
      </c>
      <c r="M229" s="265">
        <v>85837</v>
      </c>
      <c r="N229" s="234"/>
      <c r="O229" s="234">
        <f t="shared" si="4"/>
        <v>85837</v>
      </c>
    </row>
    <row r="230" spans="1:15" ht="15.75">
      <c r="A230" s="175" t="s">
        <v>245</v>
      </c>
      <c r="B230" s="22" t="s">
        <v>127</v>
      </c>
      <c r="C230" s="22" t="s">
        <v>246</v>
      </c>
      <c r="D230" s="22"/>
      <c r="E230" s="22"/>
      <c r="F230" s="22"/>
      <c r="G230" s="22"/>
      <c r="H230" s="22"/>
      <c r="I230" s="232">
        <f>I231+I234</f>
        <v>0</v>
      </c>
      <c r="J230" s="124">
        <f>J231+J234</f>
        <v>1806988.7</v>
      </c>
      <c r="M230" s="265">
        <v>1806988.7</v>
      </c>
      <c r="N230" s="234"/>
      <c r="O230" s="234">
        <f t="shared" si="4"/>
        <v>1806988.7</v>
      </c>
    </row>
    <row r="231" spans="1:15" ht="15.75">
      <c r="A231" s="168" t="s">
        <v>196</v>
      </c>
      <c r="B231" s="22" t="s">
        <v>127</v>
      </c>
      <c r="C231" s="22" t="s">
        <v>197</v>
      </c>
      <c r="D231" s="22"/>
      <c r="E231" s="22"/>
      <c r="F231" s="22"/>
      <c r="G231" s="22"/>
      <c r="H231" s="22"/>
      <c r="I231" s="232">
        <f>I232+I233</f>
        <v>0</v>
      </c>
      <c r="J231" s="124">
        <f>J232+J233</f>
        <v>771988.7</v>
      </c>
      <c r="M231" s="265">
        <v>771988.7</v>
      </c>
      <c r="N231" s="234"/>
      <c r="O231" s="234">
        <f t="shared" si="4"/>
        <v>771988.7</v>
      </c>
    </row>
    <row r="232" spans="1:15" ht="117.75" customHeight="1">
      <c r="A232" s="156" t="s">
        <v>533</v>
      </c>
      <c r="B232" s="112" t="s">
        <v>127</v>
      </c>
      <c r="C232" s="112" t="s">
        <v>197</v>
      </c>
      <c r="D232" s="112" t="s">
        <v>223</v>
      </c>
      <c r="E232" s="112" t="s">
        <v>68</v>
      </c>
      <c r="F232" s="112" t="s">
        <v>69</v>
      </c>
      <c r="G232" s="112" t="s">
        <v>532</v>
      </c>
      <c r="H232" s="112" t="s">
        <v>107</v>
      </c>
      <c r="I232" s="176"/>
      <c r="J232" s="169">
        <v>693956.2</v>
      </c>
      <c r="M232" s="265">
        <v>693956.2</v>
      </c>
      <c r="N232" s="234"/>
      <c r="O232" s="234">
        <f t="shared" si="4"/>
        <v>693956.2</v>
      </c>
    </row>
    <row r="233" spans="1:15" ht="117.75" customHeight="1">
      <c r="A233" s="156" t="s">
        <v>533</v>
      </c>
      <c r="B233" s="112" t="s">
        <v>127</v>
      </c>
      <c r="C233" s="112" t="s">
        <v>197</v>
      </c>
      <c r="D233" s="112" t="s">
        <v>223</v>
      </c>
      <c r="E233" s="112" t="s">
        <v>60</v>
      </c>
      <c r="F233" s="112" t="s">
        <v>69</v>
      </c>
      <c r="G233" s="112" t="s">
        <v>532</v>
      </c>
      <c r="H233" s="112" t="s">
        <v>107</v>
      </c>
      <c r="I233" s="176"/>
      <c r="J233" s="114">
        <v>78032.5</v>
      </c>
      <c r="M233" s="265">
        <v>78032.5</v>
      </c>
      <c r="N233" s="234"/>
      <c r="O233" s="234">
        <f t="shared" si="4"/>
        <v>78032.5</v>
      </c>
    </row>
    <row r="234" spans="1:15" ht="15.75">
      <c r="A234" s="168" t="s">
        <v>320</v>
      </c>
      <c r="B234" s="22" t="s">
        <v>127</v>
      </c>
      <c r="C234" s="22" t="s">
        <v>319</v>
      </c>
      <c r="D234" s="22"/>
      <c r="E234" s="22"/>
      <c r="F234" s="22"/>
      <c r="G234" s="22"/>
      <c r="H234" s="22"/>
      <c r="I234" s="232">
        <f>I235+I236+I238</f>
        <v>0</v>
      </c>
      <c r="J234" s="124">
        <f>J235+J236+J238</f>
        <v>1035000</v>
      </c>
      <c r="M234" s="265">
        <v>1035000</v>
      </c>
      <c r="N234" s="234"/>
      <c r="O234" s="234">
        <f t="shared" si="4"/>
        <v>1035000</v>
      </c>
    </row>
    <row r="235" spans="1:15" ht="99.75" customHeight="1">
      <c r="A235" s="156" t="s">
        <v>1517</v>
      </c>
      <c r="B235" s="112" t="s">
        <v>127</v>
      </c>
      <c r="C235" s="112" t="s">
        <v>319</v>
      </c>
      <c r="D235" s="112" t="s">
        <v>158</v>
      </c>
      <c r="E235" s="112" t="s">
        <v>114</v>
      </c>
      <c r="F235" s="112" t="s">
        <v>489</v>
      </c>
      <c r="G235" s="112" t="s">
        <v>534</v>
      </c>
      <c r="H235" s="112" t="s">
        <v>161</v>
      </c>
      <c r="I235" s="176"/>
      <c r="J235" s="169">
        <v>1035000</v>
      </c>
      <c r="M235" s="265">
        <v>1035000</v>
      </c>
      <c r="N235" s="234"/>
      <c r="O235" s="234">
        <f t="shared" si="4"/>
        <v>1035000</v>
      </c>
    </row>
    <row r="236" spans="1:15" ht="60.75" customHeight="1" hidden="1">
      <c r="A236" s="157" t="s">
        <v>905</v>
      </c>
      <c r="B236" s="112" t="s">
        <v>127</v>
      </c>
      <c r="C236" s="112" t="s">
        <v>319</v>
      </c>
      <c r="D236" s="112" t="s">
        <v>1249</v>
      </c>
      <c r="E236" s="112" t="s">
        <v>68</v>
      </c>
      <c r="F236" s="112" t="s">
        <v>115</v>
      </c>
      <c r="G236" s="112" t="s">
        <v>925</v>
      </c>
      <c r="H236" s="112" t="s">
        <v>160</v>
      </c>
      <c r="I236" s="176"/>
      <c r="J236" s="169">
        <v>0</v>
      </c>
      <c r="M236" s="265">
        <v>0</v>
      </c>
      <c r="N236" s="234"/>
      <c r="O236" s="234">
        <f t="shared" si="4"/>
        <v>0</v>
      </c>
    </row>
    <row r="237" spans="1:15" ht="78.75" hidden="1">
      <c r="A237" s="157" t="s">
        <v>1253</v>
      </c>
      <c r="B237" s="112" t="s">
        <v>127</v>
      </c>
      <c r="C237" s="112" t="s">
        <v>319</v>
      </c>
      <c r="D237" s="112" t="s">
        <v>1249</v>
      </c>
      <c r="E237" s="112" t="s">
        <v>68</v>
      </c>
      <c r="F237" s="112" t="s">
        <v>69</v>
      </c>
      <c r="G237" s="112" t="s">
        <v>1255</v>
      </c>
      <c r="H237" s="112" t="s">
        <v>160</v>
      </c>
      <c r="I237" s="176"/>
      <c r="J237" s="169">
        <v>0</v>
      </c>
      <c r="M237" s="265">
        <v>0</v>
      </c>
      <c r="N237" s="234"/>
      <c r="O237" s="234">
        <f t="shared" si="4"/>
        <v>0</v>
      </c>
    </row>
    <row r="238" spans="1:15" ht="78.75" customHeight="1" hidden="1">
      <c r="A238" s="122" t="s">
        <v>862</v>
      </c>
      <c r="B238" s="21" t="s">
        <v>127</v>
      </c>
      <c r="C238" s="21" t="s">
        <v>319</v>
      </c>
      <c r="D238" s="21" t="s">
        <v>1249</v>
      </c>
      <c r="E238" s="21" t="s">
        <v>68</v>
      </c>
      <c r="F238" s="21" t="s">
        <v>233</v>
      </c>
      <c r="G238" s="21" t="s">
        <v>926</v>
      </c>
      <c r="H238" s="21" t="s">
        <v>160</v>
      </c>
      <c r="I238" s="129"/>
      <c r="J238" s="171">
        <v>0</v>
      </c>
      <c r="M238" s="265">
        <v>0</v>
      </c>
      <c r="N238" s="234"/>
      <c r="O238" s="234">
        <f t="shared" si="4"/>
        <v>0</v>
      </c>
    </row>
    <row r="239" spans="1:15" ht="31.5">
      <c r="A239" s="166" t="s">
        <v>111</v>
      </c>
      <c r="B239" s="167" t="s">
        <v>110</v>
      </c>
      <c r="C239" s="167"/>
      <c r="D239" s="167"/>
      <c r="E239" s="167"/>
      <c r="F239" s="167"/>
      <c r="G239" s="167"/>
      <c r="H239" s="167"/>
      <c r="I239" s="478">
        <f>I240+I252</f>
        <v>40719.619999999995</v>
      </c>
      <c r="J239" s="148">
        <f>J240+J252</f>
        <v>4722419.62</v>
      </c>
      <c r="M239" s="265">
        <v>4681700</v>
      </c>
      <c r="N239" s="234"/>
      <c r="O239" s="234">
        <f t="shared" si="4"/>
        <v>4722419.62</v>
      </c>
    </row>
    <row r="240" spans="1:15" ht="15.75">
      <c r="A240" s="168" t="s">
        <v>275</v>
      </c>
      <c r="B240" s="22" t="s">
        <v>110</v>
      </c>
      <c r="C240" s="22" t="s">
        <v>276</v>
      </c>
      <c r="D240" s="22"/>
      <c r="E240" s="22"/>
      <c r="F240" s="22"/>
      <c r="G240" s="22"/>
      <c r="H240" s="22"/>
      <c r="I240" s="232">
        <f>I241+I246+I248+I250</f>
        <v>40719.619999999995</v>
      </c>
      <c r="J240" s="124">
        <f>J241+J248+J250</f>
        <v>4722419.62</v>
      </c>
      <c r="M240" s="265">
        <v>4681700</v>
      </c>
      <c r="N240" s="234"/>
      <c r="O240" s="234">
        <f t="shared" si="4"/>
        <v>4722419.62</v>
      </c>
    </row>
    <row r="241" spans="1:15" ht="47.25">
      <c r="A241" s="168" t="s">
        <v>602</v>
      </c>
      <c r="B241" s="22" t="s">
        <v>110</v>
      </c>
      <c r="C241" s="22" t="s">
        <v>126</v>
      </c>
      <c r="D241" s="22"/>
      <c r="E241" s="22"/>
      <c r="F241" s="22"/>
      <c r="G241" s="22"/>
      <c r="H241" s="22"/>
      <c r="I241" s="232">
        <f>SUM(I242:I245)</f>
        <v>40719.619999999995</v>
      </c>
      <c r="J241" s="124">
        <f>SUM(J242:J245)</f>
        <v>4422419.62</v>
      </c>
      <c r="M241" s="265">
        <v>4381700</v>
      </c>
      <c r="N241" s="234"/>
      <c r="O241" s="234">
        <f t="shared" si="4"/>
        <v>4422419.62</v>
      </c>
    </row>
    <row r="242" spans="1:15" ht="110.25">
      <c r="A242" s="122" t="s">
        <v>536</v>
      </c>
      <c r="B242" s="21" t="s">
        <v>110</v>
      </c>
      <c r="C242" s="21" t="s">
        <v>126</v>
      </c>
      <c r="D242" s="21" t="s">
        <v>287</v>
      </c>
      <c r="E242" s="21" t="s">
        <v>68</v>
      </c>
      <c r="F242" s="21" t="s">
        <v>69</v>
      </c>
      <c r="G242" s="21" t="s">
        <v>537</v>
      </c>
      <c r="H242" s="21" t="s">
        <v>159</v>
      </c>
      <c r="I242" s="129">
        <f>31274.67+9444.95</f>
        <v>40719.619999999995</v>
      </c>
      <c r="J242" s="183">
        <v>4052705.6100000003</v>
      </c>
      <c r="M242" s="265">
        <v>4011985.99</v>
      </c>
      <c r="N242" s="234"/>
      <c r="O242" s="234">
        <f t="shared" si="4"/>
        <v>4052705.6100000003</v>
      </c>
    </row>
    <row r="243" spans="1:15" ht="63">
      <c r="A243" s="122" t="s">
        <v>595</v>
      </c>
      <c r="B243" s="21" t="s">
        <v>110</v>
      </c>
      <c r="C243" s="21" t="s">
        <v>126</v>
      </c>
      <c r="D243" s="21" t="s">
        <v>287</v>
      </c>
      <c r="E243" s="21" t="s">
        <v>68</v>
      </c>
      <c r="F243" s="21" t="s">
        <v>69</v>
      </c>
      <c r="G243" s="21" t="s">
        <v>537</v>
      </c>
      <c r="H243" s="21" t="s">
        <v>160</v>
      </c>
      <c r="I243" s="129"/>
      <c r="J243" s="183">
        <v>354714.01</v>
      </c>
      <c r="M243" s="265">
        <v>354714.01</v>
      </c>
      <c r="N243" s="234"/>
      <c r="O243" s="234">
        <f t="shared" si="4"/>
        <v>354714.01</v>
      </c>
    </row>
    <row r="244" spans="1:15" ht="47.25">
      <c r="A244" s="122" t="s">
        <v>452</v>
      </c>
      <c r="B244" s="21" t="s">
        <v>110</v>
      </c>
      <c r="C244" s="21" t="s">
        <v>126</v>
      </c>
      <c r="D244" s="21" t="s">
        <v>287</v>
      </c>
      <c r="E244" s="21" t="s">
        <v>68</v>
      </c>
      <c r="F244" s="21" t="s">
        <v>69</v>
      </c>
      <c r="G244" s="21" t="s">
        <v>537</v>
      </c>
      <c r="H244" s="21" t="s">
        <v>161</v>
      </c>
      <c r="I244" s="129"/>
      <c r="J244" s="79">
        <v>0</v>
      </c>
      <c r="M244" s="265">
        <v>0</v>
      </c>
      <c r="N244" s="234"/>
      <c r="O244" s="234">
        <f t="shared" si="4"/>
        <v>0</v>
      </c>
    </row>
    <row r="245" spans="1:15" ht="35.25" customHeight="1">
      <c r="A245" s="122" t="s">
        <v>1594</v>
      </c>
      <c r="B245" s="21" t="s">
        <v>110</v>
      </c>
      <c r="C245" s="21" t="s">
        <v>126</v>
      </c>
      <c r="D245" s="21" t="s">
        <v>158</v>
      </c>
      <c r="E245" s="21" t="s">
        <v>114</v>
      </c>
      <c r="F245" s="21" t="s">
        <v>489</v>
      </c>
      <c r="G245" s="21" t="s">
        <v>1595</v>
      </c>
      <c r="H245" s="21" t="s">
        <v>161</v>
      </c>
      <c r="I245" s="129"/>
      <c r="J245" s="79">
        <v>15000</v>
      </c>
      <c r="M245" s="265">
        <v>15000</v>
      </c>
      <c r="N245" s="234"/>
      <c r="O245" s="234">
        <f t="shared" si="4"/>
        <v>15000</v>
      </c>
    </row>
    <row r="246" spans="1:15" ht="15.75">
      <c r="A246" s="160" t="s">
        <v>603</v>
      </c>
      <c r="B246" s="117" t="s">
        <v>110</v>
      </c>
      <c r="C246" s="117" t="s">
        <v>258</v>
      </c>
      <c r="D246" s="117"/>
      <c r="E246" s="117"/>
      <c r="F246" s="117"/>
      <c r="G246" s="117"/>
      <c r="H246" s="117"/>
      <c r="I246" s="232">
        <f>I247</f>
        <v>0</v>
      </c>
      <c r="J246" s="124">
        <f>J247</f>
        <v>0</v>
      </c>
      <c r="M246" s="265">
        <v>0</v>
      </c>
      <c r="N246" s="234"/>
      <c r="O246" s="234">
        <f t="shared" si="4"/>
        <v>0</v>
      </c>
    </row>
    <row r="247" spans="1:15" ht="65.25" customHeight="1">
      <c r="A247" s="156" t="s">
        <v>1328</v>
      </c>
      <c r="B247" s="112" t="s">
        <v>110</v>
      </c>
      <c r="C247" s="112" t="s">
        <v>258</v>
      </c>
      <c r="D247" s="112" t="s">
        <v>538</v>
      </c>
      <c r="E247" s="112" t="s">
        <v>114</v>
      </c>
      <c r="F247" s="112" t="s">
        <v>489</v>
      </c>
      <c r="G247" s="112" t="s">
        <v>539</v>
      </c>
      <c r="H247" s="112" t="s">
        <v>53</v>
      </c>
      <c r="I247" s="114"/>
      <c r="J247" s="114">
        <v>0</v>
      </c>
      <c r="M247" s="265">
        <v>0</v>
      </c>
      <c r="N247" s="234"/>
      <c r="O247" s="234">
        <f t="shared" si="4"/>
        <v>0</v>
      </c>
    </row>
    <row r="248" spans="1:15" ht="15.75">
      <c r="A248" s="160" t="s">
        <v>1222</v>
      </c>
      <c r="B248" s="117" t="s">
        <v>110</v>
      </c>
      <c r="C248" s="117" t="s">
        <v>1223</v>
      </c>
      <c r="D248" s="101"/>
      <c r="E248" s="101"/>
      <c r="F248" s="101"/>
      <c r="G248" s="101"/>
      <c r="H248" s="101"/>
      <c r="I248" s="232">
        <f>I249</f>
        <v>0</v>
      </c>
      <c r="J248" s="232">
        <f>J249</f>
        <v>300000</v>
      </c>
      <c r="M248" s="265">
        <v>300000</v>
      </c>
      <c r="N248" s="234"/>
      <c r="O248" s="234">
        <f t="shared" si="4"/>
        <v>300000</v>
      </c>
    </row>
    <row r="249" spans="1:15" ht="32.25" customHeight="1">
      <c r="A249" s="156" t="s">
        <v>1224</v>
      </c>
      <c r="B249" s="20" t="s">
        <v>110</v>
      </c>
      <c r="C249" s="20" t="s">
        <v>1223</v>
      </c>
      <c r="D249" s="20" t="s">
        <v>158</v>
      </c>
      <c r="E249" s="20" t="s">
        <v>114</v>
      </c>
      <c r="F249" s="20" t="s">
        <v>489</v>
      </c>
      <c r="G249" s="20" t="s">
        <v>1261</v>
      </c>
      <c r="H249" s="20" t="s">
        <v>161</v>
      </c>
      <c r="I249" s="131"/>
      <c r="J249" s="131">
        <v>300000</v>
      </c>
      <c r="M249" s="265">
        <v>300000</v>
      </c>
      <c r="N249" s="234"/>
      <c r="O249" s="234">
        <f t="shared" si="4"/>
        <v>300000</v>
      </c>
    </row>
    <row r="250" spans="1:15" ht="15.75">
      <c r="A250" s="160" t="s">
        <v>306</v>
      </c>
      <c r="B250" s="117" t="s">
        <v>110</v>
      </c>
      <c r="C250" s="117" t="s">
        <v>307</v>
      </c>
      <c r="D250" s="101"/>
      <c r="E250" s="101"/>
      <c r="F250" s="101"/>
      <c r="G250" s="101"/>
      <c r="H250" s="101"/>
      <c r="I250" s="232">
        <f>I251</f>
        <v>0</v>
      </c>
      <c r="J250" s="124">
        <f>J251</f>
        <v>0</v>
      </c>
      <c r="M250" s="265">
        <v>0</v>
      </c>
      <c r="N250" s="234"/>
      <c r="O250" s="234">
        <f t="shared" si="4"/>
        <v>0</v>
      </c>
    </row>
    <row r="251" spans="1:15" ht="180.75" customHeight="1">
      <c r="A251" s="60" t="s">
        <v>986</v>
      </c>
      <c r="B251" s="21" t="s">
        <v>110</v>
      </c>
      <c r="C251" s="21" t="s">
        <v>307</v>
      </c>
      <c r="D251" s="21" t="s">
        <v>158</v>
      </c>
      <c r="E251" s="21" t="s">
        <v>114</v>
      </c>
      <c r="F251" s="21" t="s">
        <v>489</v>
      </c>
      <c r="G251" s="21" t="s">
        <v>608</v>
      </c>
      <c r="H251" s="21" t="s">
        <v>161</v>
      </c>
      <c r="I251" s="129"/>
      <c r="J251" s="79">
        <v>0</v>
      </c>
      <c r="M251" s="265">
        <v>0</v>
      </c>
      <c r="N251" s="234"/>
      <c r="O251" s="234">
        <f t="shared" si="4"/>
        <v>0</v>
      </c>
    </row>
    <row r="252" spans="1:15" ht="15.75">
      <c r="A252" s="120" t="s">
        <v>245</v>
      </c>
      <c r="B252" s="117" t="s">
        <v>110</v>
      </c>
      <c r="C252" s="117" t="s">
        <v>246</v>
      </c>
      <c r="D252" s="117"/>
      <c r="E252" s="117"/>
      <c r="F252" s="117"/>
      <c r="G252" s="117"/>
      <c r="H252" s="117"/>
      <c r="I252" s="232">
        <f>I253</f>
        <v>0</v>
      </c>
      <c r="J252" s="124">
        <f>J253</f>
        <v>0</v>
      </c>
      <c r="M252" s="265">
        <v>0</v>
      </c>
      <c r="N252" s="234"/>
      <c r="O252" s="234">
        <f t="shared" si="4"/>
        <v>0</v>
      </c>
    </row>
    <row r="253" spans="1:15" ht="15.75">
      <c r="A253" s="120" t="s">
        <v>306</v>
      </c>
      <c r="B253" s="117" t="s">
        <v>110</v>
      </c>
      <c r="C253" s="117" t="s">
        <v>319</v>
      </c>
      <c r="D253" s="117"/>
      <c r="E253" s="117"/>
      <c r="F253" s="117"/>
      <c r="G253" s="117"/>
      <c r="H253" s="117"/>
      <c r="I253" s="232">
        <f>I254+I255</f>
        <v>0</v>
      </c>
      <c r="J253" s="124">
        <f>J254+J255</f>
        <v>0</v>
      </c>
      <c r="M253" s="265">
        <v>0</v>
      </c>
      <c r="N253" s="234"/>
      <c r="O253" s="234">
        <f t="shared" si="4"/>
        <v>0</v>
      </c>
    </row>
    <row r="254" spans="1:15" ht="66" customHeight="1">
      <c r="A254" s="122" t="s">
        <v>1007</v>
      </c>
      <c r="B254" s="21" t="s">
        <v>110</v>
      </c>
      <c r="C254" s="21" t="s">
        <v>319</v>
      </c>
      <c r="D254" s="21" t="s">
        <v>1249</v>
      </c>
      <c r="E254" s="21" t="s">
        <v>68</v>
      </c>
      <c r="F254" s="21" t="s">
        <v>115</v>
      </c>
      <c r="G254" s="21" t="s">
        <v>1002</v>
      </c>
      <c r="H254" s="21" t="s">
        <v>160</v>
      </c>
      <c r="I254" s="129"/>
      <c r="J254" s="171">
        <v>0</v>
      </c>
      <c r="M254" s="265">
        <v>0</v>
      </c>
      <c r="N254" s="234"/>
      <c r="O254" s="234">
        <f t="shared" si="4"/>
        <v>0</v>
      </c>
    </row>
    <row r="255" spans="1:15" ht="78.75" hidden="1">
      <c r="A255" s="122" t="s">
        <v>860</v>
      </c>
      <c r="B255" s="112" t="s">
        <v>110</v>
      </c>
      <c r="C255" s="112" t="s">
        <v>319</v>
      </c>
      <c r="D255" s="112" t="s">
        <v>1249</v>
      </c>
      <c r="E255" s="112" t="s">
        <v>68</v>
      </c>
      <c r="F255" s="112" t="s">
        <v>69</v>
      </c>
      <c r="G255" s="112" t="s">
        <v>1466</v>
      </c>
      <c r="H255" s="112" t="s">
        <v>160</v>
      </c>
      <c r="I255" s="176"/>
      <c r="J255" s="171">
        <v>0</v>
      </c>
      <c r="M255" s="265">
        <v>0</v>
      </c>
      <c r="N255" s="234"/>
      <c r="O255" s="234">
        <f t="shared" si="4"/>
        <v>0</v>
      </c>
    </row>
    <row r="256" spans="1:15" ht="31.5">
      <c r="A256" s="166" t="s">
        <v>240</v>
      </c>
      <c r="B256" s="167" t="s">
        <v>285</v>
      </c>
      <c r="C256" s="167"/>
      <c r="D256" s="167"/>
      <c r="E256" s="167"/>
      <c r="F256" s="167"/>
      <c r="G256" s="167"/>
      <c r="H256" s="167"/>
      <c r="I256" s="478">
        <f>I257+I261</f>
        <v>0</v>
      </c>
      <c r="J256" s="148">
        <f>J257+J261</f>
        <v>1435259.0599999998</v>
      </c>
      <c r="M256" s="265">
        <v>1435259.0599999998</v>
      </c>
      <c r="N256" s="234"/>
      <c r="O256" s="234">
        <f t="shared" si="4"/>
        <v>1435259.0599999998</v>
      </c>
    </row>
    <row r="257" spans="1:15" ht="15.75">
      <c r="A257" s="168" t="s">
        <v>275</v>
      </c>
      <c r="B257" s="117" t="s">
        <v>285</v>
      </c>
      <c r="C257" s="117" t="s">
        <v>276</v>
      </c>
      <c r="D257" s="117"/>
      <c r="E257" s="117"/>
      <c r="F257" s="117"/>
      <c r="G257" s="117"/>
      <c r="H257" s="117"/>
      <c r="I257" s="232">
        <f>I258</f>
        <v>0</v>
      </c>
      <c r="J257" s="124">
        <f>J258</f>
        <v>1435259.0599999998</v>
      </c>
      <c r="M257" s="265">
        <v>1435259.0599999998</v>
      </c>
      <c r="N257" s="234"/>
      <c r="O257" s="234">
        <f t="shared" si="4"/>
        <v>1435259.0599999998</v>
      </c>
    </row>
    <row r="258" spans="1:15" ht="47.25">
      <c r="A258" s="168" t="s">
        <v>602</v>
      </c>
      <c r="B258" s="22" t="s">
        <v>285</v>
      </c>
      <c r="C258" s="22" t="s">
        <v>126</v>
      </c>
      <c r="D258" s="22"/>
      <c r="E258" s="22"/>
      <c r="F258" s="22"/>
      <c r="G258" s="22"/>
      <c r="H258" s="22"/>
      <c r="I258" s="232">
        <f>I259+I260</f>
        <v>0</v>
      </c>
      <c r="J258" s="124">
        <f>J259+J260</f>
        <v>1435259.0599999998</v>
      </c>
      <c r="M258" s="265">
        <v>1435259.0599999998</v>
      </c>
      <c r="N258" s="234"/>
      <c r="O258" s="234">
        <f t="shared" si="4"/>
        <v>1435259.0599999998</v>
      </c>
    </row>
    <row r="259" spans="1:15" ht="94.5">
      <c r="A259" s="60" t="s">
        <v>353</v>
      </c>
      <c r="B259" s="21" t="s">
        <v>285</v>
      </c>
      <c r="C259" s="21" t="s">
        <v>126</v>
      </c>
      <c r="D259" s="21" t="s">
        <v>115</v>
      </c>
      <c r="E259" s="21" t="s">
        <v>60</v>
      </c>
      <c r="F259" s="21" t="s">
        <v>115</v>
      </c>
      <c r="G259" s="21" t="s">
        <v>540</v>
      </c>
      <c r="H259" s="21" t="s">
        <v>159</v>
      </c>
      <c r="I259" s="129"/>
      <c r="J259" s="183">
        <f>920647.2+278035.46</f>
        <v>1198682.66</v>
      </c>
      <c r="M259" s="265">
        <v>1198682.66</v>
      </c>
      <c r="N259" s="234"/>
      <c r="O259" s="234">
        <f t="shared" si="4"/>
        <v>1198682.66</v>
      </c>
    </row>
    <row r="260" spans="1:15" ht="63">
      <c r="A260" s="60" t="s">
        <v>582</v>
      </c>
      <c r="B260" s="21" t="s">
        <v>285</v>
      </c>
      <c r="C260" s="21" t="s">
        <v>126</v>
      </c>
      <c r="D260" s="21" t="s">
        <v>115</v>
      </c>
      <c r="E260" s="21" t="s">
        <v>60</v>
      </c>
      <c r="F260" s="21" t="s">
        <v>115</v>
      </c>
      <c r="G260" s="21" t="s">
        <v>540</v>
      </c>
      <c r="H260" s="21" t="s">
        <v>160</v>
      </c>
      <c r="I260" s="129"/>
      <c r="J260" s="408">
        <f>500+4000+5000+210966.4+16110</f>
        <v>236576.4</v>
      </c>
      <c r="M260" s="265">
        <v>236576.4</v>
      </c>
      <c r="N260" s="234"/>
      <c r="O260" s="234">
        <f t="shared" si="4"/>
        <v>236576.4</v>
      </c>
    </row>
    <row r="261" spans="1:15" ht="15.75">
      <c r="A261" s="168" t="s">
        <v>245</v>
      </c>
      <c r="B261" s="22" t="s">
        <v>285</v>
      </c>
      <c r="C261" s="22" t="s">
        <v>246</v>
      </c>
      <c r="D261" s="101"/>
      <c r="E261" s="101"/>
      <c r="F261" s="101"/>
      <c r="G261" s="101"/>
      <c r="H261" s="101"/>
      <c r="I261" s="232">
        <f>I262</f>
        <v>0</v>
      </c>
      <c r="J261" s="124">
        <f>J262</f>
        <v>0</v>
      </c>
      <c r="M261" s="265">
        <v>0</v>
      </c>
      <c r="N261" s="234"/>
      <c r="O261" s="234">
        <f t="shared" si="4"/>
        <v>0</v>
      </c>
    </row>
    <row r="262" spans="1:15" ht="15.75">
      <c r="A262" s="168" t="s">
        <v>306</v>
      </c>
      <c r="B262" s="22" t="s">
        <v>285</v>
      </c>
      <c r="C262" s="22" t="s">
        <v>319</v>
      </c>
      <c r="D262" s="22"/>
      <c r="E262" s="22"/>
      <c r="F262" s="22"/>
      <c r="G262" s="22"/>
      <c r="H262" s="22"/>
      <c r="I262" s="232">
        <f>I263+I264</f>
        <v>0</v>
      </c>
      <c r="J262" s="124">
        <f>J263+J264</f>
        <v>0</v>
      </c>
      <c r="M262" s="265">
        <v>0</v>
      </c>
      <c r="N262" s="234"/>
      <c r="O262" s="234">
        <f t="shared" si="4"/>
        <v>0</v>
      </c>
    </row>
    <row r="263" spans="1:15" ht="70.5" customHeight="1">
      <c r="A263" s="122" t="s">
        <v>858</v>
      </c>
      <c r="B263" s="21" t="s">
        <v>285</v>
      </c>
      <c r="C263" s="21" t="s">
        <v>319</v>
      </c>
      <c r="D263" s="21" t="s">
        <v>1249</v>
      </c>
      <c r="E263" s="21" t="s">
        <v>68</v>
      </c>
      <c r="F263" s="21" t="s">
        <v>69</v>
      </c>
      <c r="G263" s="21" t="s">
        <v>837</v>
      </c>
      <c r="H263" s="21" t="s">
        <v>160</v>
      </c>
      <c r="I263" s="129"/>
      <c r="J263" s="171">
        <v>0</v>
      </c>
      <c r="M263" s="265">
        <v>0</v>
      </c>
      <c r="N263" s="234"/>
      <c r="O263" s="234">
        <f t="shared" si="4"/>
        <v>0</v>
      </c>
    </row>
    <row r="264" spans="1:15" ht="63" hidden="1">
      <c r="A264" s="122" t="s">
        <v>903</v>
      </c>
      <c r="B264" s="21" t="s">
        <v>285</v>
      </c>
      <c r="C264" s="21" t="s">
        <v>319</v>
      </c>
      <c r="D264" s="21" t="s">
        <v>1249</v>
      </c>
      <c r="E264" s="21" t="s">
        <v>68</v>
      </c>
      <c r="F264" s="21" t="s">
        <v>115</v>
      </c>
      <c r="G264" s="21" t="s">
        <v>927</v>
      </c>
      <c r="H264" s="21" t="s">
        <v>160</v>
      </c>
      <c r="I264" s="129"/>
      <c r="J264" s="171">
        <v>0</v>
      </c>
      <c r="M264" s="265">
        <v>0</v>
      </c>
      <c r="N264" s="234"/>
      <c r="O264" s="234">
        <f t="shared" si="4"/>
        <v>0</v>
      </c>
    </row>
    <row r="265" spans="1:15" ht="15.75">
      <c r="A265" s="166" t="s">
        <v>1229</v>
      </c>
      <c r="B265" s="167"/>
      <c r="C265" s="167"/>
      <c r="D265" s="167"/>
      <c r="E265" s="167"/>
      <c r="F265" s="167"/>
      <c r="G265" s="167"/>
      <c r="H265" s="167"/>
      <c r="I265" s="478">
        <f>I11+I151+I162+I239+I256</f>
        <v>3076256.79</v>
      </c>
      <c r="J265" s="148">
        <f>J11+J151+J162+J239+J256</f>
        <v>367647717.03000003</v>
      </c>
      <c r="M265" s="265">
        <v>364571460.24</v>
      </c>
      <c r="N265" s="234"/>
      <c r="O265" s="234">
        <f t="shared" si="4"/>
        <v>367647717.03000003</v>
      </c>
    </row>
  </sheetData>
  <sheetProtection/>
  <mergeCells count="10">
    <mergeCell ref="I8:J8"/>
    <mergeCell ref="B2:J2"/>
    <mergeCell ref="B1:J1"/>
    <mergeCell ref="B3:J3"/>
    <mergeCell ref="A5:J6"/>
    <mergeCell ref="A8:A9"/>
    <mergeCell ref="B8:B9"/>
    <mergeCell ref="C8:C9"/>
    <mergeCell ref="D8:G8"/>
    <mergeCell ref="H8:H9"/>
  </mergeCells>
  <printOptions/>
  <pageMargins left="0.31496062992125984" right="0.31496062992125984" top="0.32" bottom="0.22" header="0.18" footer="0.17"/>
  <pageSetup fitToHeight="0"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O265"/>
  <sheetViews>
    <sheetView view="pageBreakPreview" zoomScale="60" zoomScaleNormal="80" zoomScalePageLayoutView="0" workbookViewId="0" topLeftCell="A59">
      <selection activeCell="M63" sqref="M63"/>
    </sheetView>
  </sheetViews>
  <sheetFormatPr defaultColWidth="9.140625" defaultRowHeight="12.75"/>
  <cols>
    <col min="1" max="1" width="60.00390625" style="104" customWidth="1"/>
    <col min="2" max="3" width="14.00390625" style="104" customWidth="1"/>
    <col min="4" max="4" width="5.7109375" style="104" customWidth="1"/>
    <col min="5" max="6" width="5.140625" style="104" customWidth="1"/>
    <col min="7" max="7" width="15.28125" style="104" customWidth="1"/>
    <col min="8" max="8" width="10.421875" style="104" customWidth="1"/>
    <col min="9" max="10" width="19.421875" style="438" customWidth="1"/>
    <col min="11" max="11" width="52.28125" style="265" hidden="1" customWidth="1"/>
    <col min="12" max="12" width="18.00390625" style="265" customWidth="1"/>
    <col min="13" max="13" width="24.00390625" style="104" customWidth="1"/>
    <col min="14" max="14" width="24.421875" style="104" customWidth="1"/>
    <col min="15" max="16384" width="9.140625" style="104" customWidth="1"/>
  </cols>
  <sheetData>
    <row r="1" spans="1:10" ht="15.75">
      <c r="A1" s="16"/>
      <c r="B1" s="550" t="s">
        <v>938</v>
      </c>
      <c r="C1" s="550"/>
      <c r="D1" s="550"/>
      <c r="E1" s="550"/>
      <c r="F1" s="550"/>
      <c r="G1" s="550"/>
      <c r="H1" s="550"/>
      <c r="I1" s="550"/>
      <c r="J1" s="437"/>
    </row>
    <row r="2" spans="1:10" ht="15.75">
      <c r="A2" s="17"/>
      <c r="B2" s="550" t="s">
        <v>152</v>
      </c>
      <c r="C2" s="550"/>
      <c r="D2" s="550"/>
      <c r="E2" s="550"/>
      <c r="F2" s="550"/>
      <c r="G2" s="550"/>
      <c r="H2" s="550"/>
      <c r="I2" s="550"/>
      <c r="J2" s="437"/>
    </row>
    <row r="3" spans="1:10" ht="15.75">
      <c r="A3" s="18"/>
      <c r="B3" s="550" t="s">
        <v>1519</v>
      </c>
      <c r="C3" s="550"/>
      <c r="D3" s="550"/>
      <c r="E3" s="550"/>
      <c r="F3" s="550"/>
      <c r="G3" s="550"/>
      <c r="H3" s="550"/>
      <c r="I3" s="550"/>
      <c r="J3" s="437"/>
    </row>
    <row r="4" spans="1:8" ht="15">
      <c r="A4" s="18"/>
      <c r="B4" s="18"/>
      <c r="C4" s="18"/>
      <c r="D4" s="18"/>
      <c r="E4" s="18"/>
      <c r="F4" s="18"/>
      <c r="G4" s="18"/>
      <c r="H4" s="18"/>
    </row>
    <row r="5" spans="1:10" ht="12.75">
      <c r="A5" s="514" t="s">
        <v>1468</v>
      </c>
      <c r="B5" s="514"/>
      <c r="C5" s="514"/>
      <c r="D5" s="514"/>
      <c r="E5" s="514"/>
      <c r="F5" s="514"/>
      <c r="G5" s="514"/>
      <c r="H5" s="514"/>
      <c r="I5" s="514"/>
      <c r="J5" s="437"/>
    </row>
    <row r="6" spans="1:10" ht="21" customHeight="1">
      <c r="A6" s="514"/>
      <c r="B6" s="514"/>
      <c r="C6" s="514"/>
      <c r="D6" s="514"/>
      <c r="E6" s="514"/>
      <c r="F6" s="514"/>
      <c r="G6" s="514"/>
      <c r="H6" s="514"/>
      <c r="I6" s="514"/>
      <c r="J6" s="437"/>
    </row>
    <row r="7" spans="1:10" ht="15">
      <c r="A7" s="18"/>
      <c r="B7" s="18"/>
      <c r="C7" s="18"/>
      <c r="D7" s="18"/>
      <c r="E7" s="18"/>
      <c r="F7" s="18"/>
      <c r="G7" s="18"/>
      <c r="H7" s="18"/>
      <c r="I7" s="439"/>
      <c r="J7" s="439"/>
    </row>
    <row r="8" spans="1:10" ht="20.25" customHeight="1">
      <c r="A8" s="551" t="s">
        <v>154</v>
      </c>
      <c r="B8" s="551" t="s">
        <v>153</v>
      </c>
      <c r="C8" s="551" t="s">
        <v>272</v>
      </c>
      <c r="D8" s="551" t="s">
        <v>273</v>
      </c>
      <c r="E8" s="551"/>
      <c r="F8" s="551"/>
      <c r="G8" s="551"/>
      <c r="H8" s="551" t="s">
        <v>274</v>
      </c>
      <c r="I8" s="545"/>
      <c r="J8" s="545"/>
    </row>
    <row r="9" spans="1:10" ht="25.5">
      <c r="A9" s="551"/>
      <c r="B9" s="551"/>
      <c r="C9" s="551"/>
      <c r="D9" s="163" t="s">
        <v>99</v>
      </c>
      <c r="E9" s="163" t="s">
        <v>100</v>
      </c>
      <c r="F9" s="163" t="s">
        <v>479</v>
      </c>
      <c r="G9" s="163" t="s">
        <v>480</v>
      </c>
      <c r="H9" s="551"/>
      <c r="I9" s="440" t="s">
        <v>627</v>
      </c>
      <c r="J9" s="440" t="s">
        <v>849</v>
      </c>
    </row>
    <row r="10" spans="1:10" ht="15.75">
      <c r="A10" s="164" t="s">
        <v>68</v>
      </c>
      <c r="B10" s="164" t="s">
        <v>60</v>
      </c>
      <c r="C10" s="164" t="s">
        <v>224</v>
      </c>
      <c r="D10" s="164" t="s">
        <v>139</v>
      </c>
      <c r="E10" s="164" t="s">
        <v>90</v>
      </c>
      <c r="F10" s="164">
        <v>6</v>
      </c>
      <c r="G10" s="164">
        <v>7</v>
      </c>
      <c r="H10" s="164">
        <v>8</v>
      </c>
      <c r="I10" s="165">
        <v>10</v>
      </c>
      <c r="J10" s="165">
        <v>10</v>
      </c>
    </row>
    <row r="11" spans="1:13" ht="15.75">
      <c r="A11" s="166" t="s">
        <v>150</v>
      </c>
      <c r="B11" s="167" t="s">
        <v>149</v>
      </c>
      <c r="C11" s="167"/>
      <c r="D11" s="167"/>
      <c r="E11" s="167"/>
      <c r="F11" s="167"/>
      <c r="G11" s="167"/>
      <c r="H11" s="167"/>
      <c r="I11" s="148">
        <f>I12+I50+I53+I76+I98+I103+I119+I134</f>
        <v>75185739.37</v>
      </c>
      <c r="J11" s="148">
        <f>J12+J50+J53+J76+J98+J103+J119+J134</f>
        <v>67051084.4</v>
      </c>
      <c r="M11" s="234"/>
    </row>
    <row r="12" spans="1:10" ht="15.75">
      <c r="A12" s="168" t="s">
        <v>275</v>
      </c>
      <c r="B12" s="22" t="s">
        <v>149</v>
      </c>
      <c r="C12" s="22" t="s">
        <v>276</v>
      </c>
      <c r="D12" s="22"/>
      <c r="E12" s="22"/>
      <c r="F12" s="22"/>
      <c r="G12" s="22"/>
      <c r="H12" s="22"/>
      <c r="I12" s="124">
        <f>I13+I15+I24+I22</f>
        <v>38874434.91</v>
      </c>
      <c r="J12" s="124">
        <f>J13+J15+J24+J22</f>
        <v>38855795.12</v>
      </c>
    </row>
    <row r="13" spans="1:10" ht="48.75" customHeight="1">
      <c r="A13" s="168" t="s">
        <v>243</v>
      </c>
      <c r="B13" s="22" t="s">
        <v>149</v>
      </c>
      <c r="C13" s="22" t="s">
        <v>124</v>
      </c>
      <c r="D13" s="22"/>
      <c r="E13" s="22"/>
      <c r="F13" s="22"/>
      <c r="G13" s="22"/>
      <c r="H13" s="22"/>
      <c r="I13" s="124">
        <f>I14</f>
        <v>1353398</v>
      </c>
      <c r="J13" s="124">
        <f>J14</f>
        <v>1353398</v>
      </c>
    </row>
    <row r="14" spans="1:10" ht="81" customHeight="1">
      <c r="A14" s="60" t="s">
        <v>541</v>
      </c>
      <c r="B14" s="21" t="s">
        <v>149</v>
      </c>
      <c r="C14" s="21" t="s">
        <v>124</v>
      </c>
      <c r="D14" s="21" t="s">
        <v>115</v>
      </c>
      <c r="E14" s="21" t="s">
        <v>60</v>
      </c>
      <c r="F14" s="21" t="s">
        <v>69</v>
      </c>
      <c r="G14" s="21" t="s">
        <v>482</v>
      </c>
      <c r="H14" s="21" t="s">
        <v>159</v>
      </c>
      <c r="I14" s="429">
        <f>1039476+313922</f>
        <v>1353398</v>
      </c>
      <c r="J14" s="429">
        <f>1039476+313922</f>
        <v>1353398</v>
      </c>
    </row>
    <row r="15" spans="1:10" ht="70.5" customHeight="1">
      <c r="A15" s="168" t="s">
        <v>277</v>
      </c>
      <c r="B15" s="22" t="s">
        <v>149</v>
      </c>
      <c r="C15" s="22" t="s">
        <v>278</v>
      </c>
      <c r="D15" s="22"/>
      <c r="E15" s="22"/>
      <c r="F15" s="22"/>
      <c r="G15" s="22"/>
      <c r="H15" s="22"/>
      <c r="I15" s="124">
        <f>SUM(I16:I21)</f>
        <v>22478018.59</v>
      </c>
      <c r="J15" s="124">
        <f>SUM(J16:J21)</f>
        <v>22478018.59</v>
      </c>
    </row>
    <row r="16" spans="1:10" ht="94.5">
      <c r="A16" s="60" t="s">
        <v>478</v>
      </c>
      <c r="B16" s="21" t="s">
        <v>149</v>
      </c>
      <c r="C16" s="21" t="s">
        <v>278</v>
      </c>
      <c r="D16" s="21" t="s">
        <v>115</v>
      </c>
      <c r="E16" s="21" t="s">
        <v>60</v>
      </c>
      <c r="F16" s="21" t="s">
        <v>115</v>
      </c>
      <c r="G16" s="21" t="s">
        <v>481</v>
      </c>
      <c r="H16" s="21" t="s">
        <v>159</v>
      </c>
      <c r="I16" s="169">
        <v>20432302.03</v>
      </c>
      <c r="J16" s="169">
        <v>20432302.03</v>
      </c>
    </row>
    <row r="17" spans="1:10" ht="48.75" customHeight="1">
      <c r="A17" s="60" t="s">
        <v>579</v>
      </c>
      <c r="B17" s="21" t="s">
        <v>149</v>
      </c>
      <c r="C17" s="21" t="s">
        <v>278</v>
      </c>
      <c r="D17" s="21" t="s">
        <v>115</v>
      </c>
      <c r="E17" s="21" t="s">
        <v>60</v>
      </c>
      <c r="F17" s="21" t="s">
        <v>115</v>
      </c>
      <c r="G17" s="21" t="s">
        <v>481</v>
      </c>
      <c r="H17" s="21" t="s">
        <v>160</v>
      </c>
      <c r="I17" s="114">
        <v>1584458.5599999998</v>
      </c>
      <c r="J17" s="114">
        <v>1584458.5599999998</v>
      </c>
    </row>
    <row r="18" spans="1:10" ht="50.25" customHeight="1">
      <c r="A18" s="60" t="s">
        <v>973</v>
      </c>
      <c r="B18" s="21" t="s">
        <v>149</v>
      </c>
      <c r="C18" s="21" t="s">
        <v>278</v>
      </c>
      <c r="D18" s="21" t="s">
        <v>115</v>
      </c>
      <c r="E18" s="21" t="s">
        <v>60</v>
      </c>
      <c r="F18" s="21" t="s">
        <v>115</v>
      </c>
      <c r="G18" s="21" t="s">
        <v>481</v>
      </c>
      <c r="H18" s="21" t="s">
        <v>107</v>
      </c>
      <c r="I18" s="114">
        <v>0</v>
      </c>
      <c r="J18" s="114">
        <v>0</v>
      </c>
    </row>
    <row r="19" spans="1:10" ht="37.5" customHeight="1">
      <c r="A19" s="60" t="s">
        <v>347</v>
      </c>
      <c r="B19" s="21" t="s">
        <v>149</v>
      </c>
      <c r="C19" s="21" t="s">
        <v>278</v>
      </c>
      <c r="D19" s="21" t="s">
        <v>115</v>
      </c>
      <c r="E19" s="21" t="s">
        <v>60</v>
      </c>
      <c r="F19" s="21" t="s">
        <v>115</v>
      </c>
      <c r="G19" s="21" t="s">
        <v>481</v>
      </c>
      <c r="H19" s="21" t="s">
        <v>161</v>
      </c>
      <c r="I19" s="169">
        <v>58000</v>
      </c>
      <c r="J19" s="169">
        <v>58000</v>
      </c>
    </row>
    <row r="20" spans="1:10" ht="110.25">
      <c r="A20" s="156" t="s">
        <v>546</v>
      </c>
      <c r="B20" s="112" t="s">
        <v>149</v>
      </c>
      <c r="C20" s="112" t="s">
        <v>278</v>
      </c>
      <c r="D20" s="112">
        <v>11</v>
      </c>
      <c r="E20" s="112" t="s">
        <v>68</v>
      </c>
      <c r="F20" s="112" t="s">
        <v>115</v>
      </c>
      <c r="G20" s="112" t="s">
        <v>483</v>
      </c>
      <c r="H20" s="112" t="s">
        <v>159</v>
      </c>
      <c r="I20" s="114">
        <v>399528</v>
      </c>
      <c r="J20" s="114">
        <v>399528</v>
      </c>
    </row>
    <row r="21" spans="1:10" ht="63">
      <c r="A21" s="156" t="s">
        <v>588</v>
      </c>
      <c r="B21" s="112" t="s">
        <v>149</v>
      </c>
      <c r="C21" s="112" t="s">
        <v>278</v>
      </c>
      <c r="D21" s="112">
        <v>11</v>
      </c>
      <c r="E21" s="112" t="s">
        <v>68</v>
      </c>
      <c r="F21" s="112" t="s">
        <v>115</v>
      </c>
      <c r="G21" s="112" t="s">
        <v>483</v>
      </c>
      <c r="H21" s="112" t="s">
        <v>160</v>
      </c>
      <c r="I21" s="114">
        <v>3730</v>
      </c>
      <c r="J21" s="114">
        <v>3730</v>
      </c>
    </row>
    <row r="22" spans="1:10" ht="15.75">
      <c r="A22" s="160" t="s">
        <v>603</v>
      </c>
      <c r="B22" s="117" t="s">
        <v>149</v>
      </c>
      <c r="C22" s="117" t="s">
        <v>258</v>
      </c>
      <c r="D22" s="117"/>
      <c r="E22" s="117"/>
      <c r="F22" s="117"/>
      <c r="G22" s="117"/>
      <c r="H22" s="117"/>
      <c r="I22" s="124">
        <f>I23</f>
        <v>21273.67</v>
      </c>
      <c r="J22" s="124">
        <f>J23</f>
        <v>2633.88</v>
      </c>
    </row>
    <row r="23" spans="1:10" ht="94.5">
      <c r="A23" s="156" t="s">
        <v>1540</v>
      </c>
      <c r="B23" s="112" t="s">
        <v>149</v>
      </c>
      <c r="C23" s="112" t="s">
        <v>258</v>
      </c>
      <c r="D23" s="112" t="s">
        <v>538</v>
      </c>
      <c r="E23" s="112" t="s">
        <v>114</v>
      </c>
      <c r="F23" s="112" t="s">
        <v>489</v>
      </c>
      <c r="G23" s="112" t="s">
        <v>539</v>
      </c>
      <c r="H23" s="112" t="s">
        <v>160</v>
      </c>
      <c r="I23" s="114">
        <v>21273.67</v>
      </c>
      <c r="J23" s="114">
        <v>2633.88</v>
      </c>
    </row>
    <row r="24" spans="1:10" ht="15.75">
      <c r="A24" s="168" t="s">
        <v>306</v>
      </c>
      <c r="B24" s="22" t="s">
        <v>149</v>
      </c>
      <c r="C24" s="22" t="s">
        <v>307</v>
      </c>
      <c r="D24" s="22"/>
      <c r="E24" s="22"/>
      <c r="F24" s="22"/>
      <c r="G24" s="22"/>
      <c r="H24" s="22"/>
      <c r="I24" s="172">
        <f>SUM(I25:I49)</f>
        <v>15021744.649999999</v>
      </c>
      <c r="J24" s="172">
        <f>SUM(J25:J49)</f>
        <v>15021744.649999999</v>
      </c>
    </row>
    <row r="25" spans="1:10" ht="110.25">
      <c r="A25" s="189" t="s">
        <v>931</v>
      </c>
      <c r="B25" s="112" t="s">
        <v>149</v>
      </c>
      <c r="C25" s="112" t="s">
        <v>307</v>
      </c>
      <c r="D25" s="112" t="s">
        <v>115</v>
      </c>
      <c r="E25" s="112" t="s">
        <v>139</v>
      </c>
      <c r="F25" s="112" t="s">
        <v>69</v>
      </c>
      <c r="G25" s="112" t="s">
        <v>549</v>
      </c>
      <c r="H25" s="112" t="s">
        <v>159</v>
      </c>
      <c r="I25" s="169">
        <f>2994885+904456</f>
        <v>3899341</v>
      </c>
      <c r="J25" s="169">
        <f>2994885+904456</f>
        <v>3899341</v>
      </c>
    </row>
    <row r="26" spans="1:10" ht="63" customHeight="1">
      <c r="A26" s="189" t="s">
        <v>929</v>
      </c>
      <c r="B26" s="112" t="s">
        <v>149</v>
      </c>
      <c r="C26" s="112" t="s">
        <v>307</v>
      </c>
      <c r="D26" s="112" t="s">
        <v>115</v>
      </c>
      <c r="E26" s="112" t="s">
        <v>139</v>
      </c>
      <c r="F26" s="112" t="s">
        <v>69</v>
      </c>
      <c r="G26" s="112" t="s">
        <v>549</v>
      </c>
      <c r="H26" s="112" t="s">
        <v>160</v>
      </c>
      <c r="I26" s="169">
        <v>3675609.17</v>
      </c>
      <c r="J26" s="169">
        <v>3675609.17</v>
      </c>
    </row>
    <row r="27" spans="1:10" ht="47.25">
      <c r="A27" s="189" t="s">
        <v>930</v>
      </c>
      <c r="B27" s="112" t="s">
        <v>149</v>
      </c>
      <c r="C27" s="112" t="s">
        <v>307</v>
      </c>
      <c r="D27" s="112" t="s">
        <v>115</v>
      </c>
      <c r="E27" s="112" t="s">
        <v>139</v>
      </c>
      <c r="F27" s="112" t="s">
        <v>69</v>
      </c>
      <c r="G27" s="112" t="s">
        <v>549</v>
      </c>
      <c r="H27" s="112" t="s">
        <v>161</v>
      </c>
      <c r="I27" s="169">
        <v>132000</v>
      </c>
      <c r="J27" s="169">
        <v>132000</v>
      </c>
    </row>
    <row r="28" spans="1:10" ht="63">
      <c r="A28" s="156" t="s">
        <v>587</v>
      </c>
      <c r="B28" s="112" t="s">
        <v>149</v>
      </c>
      <c r="C28" s="112" t="s">
        <v>307</v>
      </c>
      <c r="D28" s="112">
        <v>11</v>
      </c>
      <c r="E28" s="112" t="s">
        <v>68</v>
      </c>
      <c r="F28" s="112" t="s">
        <v>115</v>
      </c>
      <c r="G28" s="112" t="s">
        <v>484</v>
      </c>
      <c r="H28" s="112" t="s">
        <v>160</v>
      </c>
      <c r="I28" s="169">
        <v>10492</v>
      </c>
      <c r="J28" s="169">
        <v>10492</v>
      </c>
    </row>
    <row r="29" spans="1:10" ht="62.25" customHeight="1">
      <c r="A29" s="156" t="s">
        <v>585</v>
      </c>
      <c r="B29" s="112" t="s">
        <v>149</v>
      </c>
      <c r="C29" s="112" t="s">
        <v>307</v>
      </c>
      <c r="D29" s="112" t="s">
        <v>115</v>
      </c>
      <c r="E29" s="112" t="s">
        <v>60</v>
      </c>
      <c r="F29" s="112" t="s">
        <v>233</v>
      </c>
      <c r="G29" s="112" t="s">
        <v>485</v>
      </c>
      <c r="H29" s="112" t="s">
        <v>160</v>
      </c>
      <c r="I29" s="114">
        <v>627264</v>
      </c>
      <c r="J29" s="114">
        <v>627264</v>
      </c>
    </row>
    <row r="30" spans="1:10" ht="72" customHeight="1">
      <c r="A30" s="156" t="s">
        <v>584</v>
      </c>
      <c r="B30" s="112" t="s">
        <v>149</v>
      </c>
      <c r="C30" s="112" t="s">
        <v>307</v>
      </c>
      <c r="D30" s="112" t="s">
        <v>115</v>
      </c>
      <c r="E30" s="112" t="s">
        <v>60</v>
      </c>
      <c r="F30" s="112" t="s">
        <v>115</v>
      </c>
      <c r="G30" s="112" t="s">
        <v>486</v>
      </c>
      <c r="H30" s="112" t="s">
        <v>160</v>
      </c>
      <c r="I30" s="169">
        <v>296800</v>
      </c>
      <c r="J30" s="169">
        <v>296800</v>
      </c>
    </row>
    <row r="31" spans="1:10" ht="47.25">
      <c r="A31" s="156" t="s">
        <v>606</v>
      </c>
      <c r="B31" s="177">
        <v>900</v>
      </c>
      <c r="C31" s="178" t="s">
        <v>307</v>
      </c>
      <c r="D31" s="178" t="s">
        <v>115</v>
      </c>
      <c r="E31" s="178" t="s">
        <v>60</v>
      </c>
      <c r="F31" s="178" t="s">
        <v>115</v>
      </c>
      <c r="G31" s="178" t="s">
        <v>1217</v>
      </c>
      <c r="H31" s="178" t="s">
        <v>107</v>
      </c>
      <c r="I31" s="169">
        <v>9000</v>
      </c>
      <c r="J31" s="169">
        <v>9000</v>
      </c>
    </row>
    <row r="32" spans="1:10" ht="79.5" customHeight="1">
      <c r="A32" s="157" t="s">
        <v>600</v>
      </c>
      <c r="B32" s="112" t="s">
        <v>149</v>
      </c>
      <c r="C32" s="112" t="s">
        <v>307</v>
      </c>
      <c r="D32" s="112" t="s">
        <v>69</v>
      </c>
      <c r="E32" s="112" t="s">
        <v>68</v>
      </c>
      <c r="F32" s="112" t="s">
        <v>69</v>
      </c>
      <c r="G32" s="112" t="s">
        <v>487</v>
      </c>
      <c r="H32" s="112" t="s">
        <v>160</v>
      </c>
      <c r="I32" s="169">
        <v>700000</v>
      </c>
      <c r="J32" s="169">
        <v>700000</v>
      </c>
    </row>
    <row r="33" spans="1:10" ht="79.5" customHeight="1">
      <c r="A33" s="157" t="s">
        <v>1502</v>
      </c>
      <c r="B33" s="112">
        <v>900</v>
      </c>
      <c r="C33" s="112" t="s">
        <v>307</v>
      </c>
      <c r="D33" s="112" t="s">
        <v>59</v>
      </c>
      <c r="E33" s="112" t="s">
        <v>224</v>
      </c>
      <c r="F33" s="112" t="s">
        <v>69</v>
      </c>
      <c r="G33" s="112" t="s">
        <v>1501</v>
      </c>
      <c r="H33" s="112" t="s">
        <v>160</v>
      </c>
      <c r="I33" s="169">
        <v>126000</v>
      </c>
      <c r="J33" s="169">
        <v>126000</v>
      </c>
    </row>
    <row r="34" spans="1:10" ht="79.5" customHeight="1">
      <c r="A34" s="157" t="s">
        <v>647</v>
      </c>
      <c r="B34" s="112" t="s">
        <v>149</v>
      </c>
      <c r="C34" s="112" t="s">
        <v>307</v>
      </c>
      <c r="D34" s="112" t="s">
        <v>61</v>
      </c>
      <c r="E34" s="112" t="s">
        <v>60</v>
      </c>
      <c r="F34" s="112" t="s">
        <v>115</v>
      </c>
      <c r="G34" s="112" t="s">
        <v>662</v>
      </c>
      <c r="H34" s="112" t="s">
        <v>160</v>
      </c>
      <c r="I34" s="114">
        <v>1484164</v>
      </c>
      <c r="J34" s="114">
        <v>1484164</v>
      </c>
    </row>
    <row r="35" spans="1:10" ht="114" customHeight="1">
      <c r="A35" s="156" t="s">
        <v>917</v>
      </c>
      <c r="B35" s="112" t="s">
        <v>149</v>
      </c>
      <c r="C35" s="112" t="s">
        <v>307</v>
      </c>
      <c r="D35" s="112" t="s">
        <v>115</v>
      </c>
      <c r="E35" s="112" t="s">
        <v>68</v>
      </c>
      <c r="F35" s="112" t="s">
        <v>69</v>
      </c>
      <c r="G35" s="112" t="s">
        <v>488</v>
      </c>
      <c r="H35" s="112" t="s">
        <v>160</v>
      </c>
      <c r="I35" s="169">
        <v>81200</v>
      </c>
      <c r="J35" s="169">
        <v>81200</v>
      </c>
    </row>
    <row r="36" spans="1:10" ht="48.75" customHeight="1">
      <c r="A36" s="179" t="s">
        <v>610</v>
      </c>
      <c r="B36" s="112" t="s">
        <v>149</v>
      </c>
      <c r="C36" s="112" t="s">
        <v>307</v>
      </c>
      <c r="D36" s="112" t="s">
        <v>158</v>
      </c>
      <c r="E36" s="112" t="s">
        <v>114</v>
      </c>
      <c r="F36" s="112" t="s">
        <v>489</v>
      </c>
      <c r="G36" s="112" t="s">
        <v>490</v>
      </c>
      <c r="H36" s="112" t="s">
        <v>161</v>
      </c>
      <c r="I36" s="169">
        <v>44022</v>
      </c>
      <c r="J36" s="169">
        <v>44022</v>
      </c>
    </row>
    <row r="37" spans="1:10" ht="114" customHeight="1">
      <c r="A37" s="179" t="s">
        <v>956</v>
      </c>
      <c r="B37" s="112" t="s">
        <v>149</v>
      </c>
      <c r="C37" s="112" t="s">
        <v>307</v>
      </c>
      <c r="D37" s="112" t="s">
        <v>115</v>
      </c>
      <c r="E37" s="112" t="s">
        <v>224</v>
      </c>
      <c r="F37" s="112" t="s">
        <v>69</v>
      </c>
      <c r="G37" s="112" t="s">
        <v>491</v>
      </c>
      <c r="H37" s="112" t="s">
        <v>160</v>
      </c>
      <c r="I37" s="169">
        <v>305386.45</v>
      </c>
      <c r="J37" s="169">
        <v>305386.45</v>
      </c>
    </row>
    <row r="38" spans="1:10" ht="56.25" customHeight="1">
      <c r="A38" s="156" t="s">
        <v>591</v>
      </c>
      <c r="B38" s="112" t="s">
        <v>149</v>
      </c>
      <c r="C38" s="112" t="s">
        <v>307</v>
      </c>
      <c r="D38" s="112" t="s">
        <v>61</v>
      </c>
      <c r="E38" s="112" t="s">
        <v>60</v>
      </c>
      <c r="F38" s="112" t="s">
        <v>115</v>
      </c>
      <c r="G38" s="112" t="s">
        <v>628</v>
      </c>
      <c r="H38" s="112" t="s">
        <v>160</v>
      </c>
      <c r="I38" s="114">
        <v>115836</v>
      </c>
      <c r="J38" s="114">
        <v>115836</v>
      </c>
    </row>
    <row r="39" spans="1:10" ht="84" customHeight="1">
      <c r="A39" s="156" t="s">
        <v>622</v>
      </c>
      <c r="B39" s="112" t="s">
        <v>149</v>
      </c>
      <c r="C39" s="112" t="s">
        <v>307</v>
      </c>
      <c r="D39" s="112" t="s">
        <v>158</v>
      </c>
      <c r="E39" s="112" t="s">
        <v>114</v>
      </c>
      <c r="F39" s="112" t="s">
        <v>489</v>
      </c>
      <c r="G39" s="112" t="s">
        <v>623</v>
      </c>
      <c r="H39" s="112" t="s">
        <v>160</v>
      </c>
      <c r="I39" s="114">
        <v>119659.25</v>
      </c>
      <c r="J39" s="114">
        <v>119659.25</v>
      </c>
    </row>
    <row r="40" spans="1:10" ht="70.5" customHeight="1">
      <c r="A40" s="156" t="s">
        <v>882</v>
      </c>
      <c r="B40" s="112" t="s">
        <v>149</v>
      </c>
      <c r="C40" s="112" t="s">
        <v>307</v>
      </c>
      <c r="D40" s="112" t="s">
        <v>158</v>
      </c>
      <c r="E40" s="112" t="s">
        <v>114</v>
      </c>
      <c r="F40" s="112" t="s">
        <v>489</v>
      </c>
      <c r="G40" s="112" t="s">
        <v>928</v>
      </c>
      <c r="H40" s="112" t="s">
        <v>160</v>
      </c>
      <c r="I40" s="114">
        <v>816533.33</v>
      </c>
      <c r="J40" s="114">
        <v>816533.33</v>
      </c>
    </row>
    <row r="41" spans="1:10" ht="99" customHeight="1">
      <c r="A41" s="157" t="s">
        <v>942</v>
      </c>
      <c r="B41" s="112" t="s">
        <v>149</v>
      </c>
      <c r="C41" s="112" t="s">
        <v>307</v>
      </c>
      <c r="D41" s="112">
        <v>11</v>
      </c>
      <c r="E41" s="112" t="s">
        <v>60</v>
      </c>
      <c r="F41" s="112" t="s">
        <v>115</v>
      </c>
      <c r="G41" s="112" t="s">
        <v>675</v>
      </c>
      <c r="H41" s="112" t="s">
        <v>159</v>
      </c>
      <c r="I41" s="114">
        <v>15000</v>
      </c>
      <c r="J41" s="114">
        <v>15000</v>
      </c>
    </row>
    <row r="42" spans="1:10" ht="69.75" customHeight="1">
      <c r="A42" s="157" t="s">
        <v>943</v>
      </c>
      <c r="B42" s="112" t="s">
        <v>149</v>
      </c>
      <c r="C42" s="112" t="s">
        <v>307</v>
      </c>
      <c r="D42" s="112">
        <v>11</v>
      </c>
      <c r="E42" s="112" t="s">
        <v>60</v>
      </c>
      <c r="F42" s="112" t="s">
        <v>115</v>
      </c>
      <c r="G42" s="112" t="s">
        <v>944</v>
      </c>
      <c r="H42" s="112" t="s">
        <v>160</v>
      </c>
      <c r="I42" s="114">
        <v>5000</v>
      </c>
      <c r="J42" s="114">
        <v>5000</v>
      </c>
    </row>
    <row r="43" spans="1:10" ht="62.25" customHeight="1">
      <c r="A43" s="157" t="s">
        <v>913</v>
      </c>
      <c r="B43" s="112" t="s">
        <v>149</v>
      </c>
      <c r="C43" s="112" t="s">
        <v>307</v>
      </c>
      <c r="D43" s="112">
        <v>11</v>
      </c>
      <c r="E43" s="112" t="s">
        <v>60</v>
      </c>
      <c r="F43" s="112" t="s">
        <v>115</v>
      </c>
      <c r="G43" s="112" t="s">
        <v>918</v>
      </c>
      <c r="H43" s="112" t="s">
        <v>160</v>
      </c>
      <c r="I43" s="114">
        <v>37400</v>
      </c>
      <c r="J43" s="114">
        <v>37400</v>
      </c>
    </row>
    <row r="44" spans="1:10" ht="51" customHeight="1">
      <c r="A44" s="156" t="s">
        <v>1008</v>
      </c>
      <c r="B44" s="112" t="s">
        <v>149</v>
      </c>
      <c r="C44" s="112" t="s">
        <v>307</v>
      </c>
      <c r="D44" s="112">
        <v>11</v>
      </c>
      <c r="E44" s="112" t="s">
        <v>68</v>
      </c>
      <c r="F44" s="112" t="s">
        <v>115</v>
      </c>
      <c r="G44" s="112" t="s">
        <v>676</v>
      </c>
      <c r="H44" s="112" t="s">
        <v>160</v>
      </c>
      <c r="I44" s="114">
        <v>0</v>
      </c>
      <c r="J44" s="114">
        <v>0</v>
      </c>
    </row>
    <row r="45" spans="1:10" ht="66" customHeight="1">
      <c r="A45" s="156" t="s">
        <v>976</v>
      </c>
      <c r="B45" s="112" t="s">
        <v>149</v>
      </c>
      <c r="C45" s="112" t="s">
        <v>307</v>
      </c>
      <c r="D45" s="112">
        <v>11</v>
      </c>
      <c r="E45" s="112" t="s">
        <v>68</v>
      </c>
      <c r="F45" s="112" t="s">
        <v>115</v>
      </c>
      <c r="G45" s="112" t="s">
        <v>966</v>
      </c>
      <c r="H45" s="112" t="s">
        <v>160</v>
      </c>
      <c r="I45" s="169">
        <v>0</v>
      </c>
      <c r="J45" s="169">
        <v>0</v>
      </c>
    </row>
    <row r="46" spans="1:10" ht="165.75" customHeight="1">
      <c r="A46" s="156" t="s">
        <v>609</v>
      </c>
      <c r="B46" s="112" t="s">
        <v>149</v>
      </c>
      <c r="C46" s="112" t="s">
        <v>307</v>
      </c>
      <c r="D46" s="112" t="s">
        <v>158</v>
      </c>
      <c r="E46" s="112" t="s">
        <v>114</v>
      </c>
      <c r="F46" s="112" t="s">
        <v>489</v>
      </c>
      <c r="G46" s="112" t="s">
        <v>608</v>
      </c>
      <c r="H46" s="112" t="s">
        <v>161</v>
      </c>
      <c r="I46" s="169">
        <v>0</v>
      </c>
      <c r="J46" s="169">
        <v>0</v>
      </c>
    </row>
    <row r="47" spans="1:10" ht="117" customHeight="1">
      <c r="A47" s="156" t="s">
        <v>970</v>
      </c>
      <c r="B47" s="112" t="s">
        <v>149</v>
      </c>
      <c r="C47" s="112" t="s">
        <v>307</v>
      </c>
      <c r="D47" s="112">
        <v>11</v>
      </c>
      <c r="E47" s="112" t="s">
        <v>224</v>
      </c>
      <c r="F47" s="112" t="s">
        <v>69</v>
      </c>
      <c r="G47" s="112" t="s">
        <v>972</v>
      </c>
      <c r="H47" s="112" t="s">
        <v>159</v>
      </c>
      <c r="I47" s="169">
        <v>2430927.45</v>
      </c>
      <c r="J47" s="169">
        <v>2430927.45</v>
      </c>
    </row>
    <row r="48" spans="1:10" ht="68.25" customHeight="1">
      <c r="A48" s="156" t="s">
        <v>969</v>
      </c>
      <c r="B48" s="112" t="s">
        <v>149</v>
      </c>
      <c r="C48" s="112" t="s">
        <v>307</v>
      </c>
      <c r="D48" s="112">
        <v>11</v>
      </c>
      <c r="E48" s="112" t="s">
        <v>224</v>
      </c>
      <c r="F48" s="112" t="s">
        <v>69</v>
      </c>
      <c r="G48" s="112" t="s">
        <v>972</v>
      </c>
      <c r="H48" s="112" t="s">
        <v>160</v>
      </c>
      <c r="I48" s="169">
        <v>90110</v>
      </c>
      <c r="J48" s="169">
        <v>90110</v>
      </c>
    </row>
    <row r="49" spans="1:10" ht="47.25">
      <c r="A49" s="156" t="s">
        <v>971</v>
      </c>
      <c r="B49" s="112" t="s">
        <v>149</v>
      </c>
      <c r="C49" s="112" t="s">
        <v>307</v>
      </c>
      <c r="D49" s="112">
        <v>11</v>
      </c>
      <c r="E49" s="112" t="s">
        <v>224</v>
      </c>
      <c r="F49" s="112" t="s">
        <v>69</v>
      </c>
      <c r="G49" s="112" t="s">
        <v>972</v>
      </c>
      <c r="H49" s="112" t="s">
        <v>161</v>
      </c>
      <c r="I49" s="169">
        <v>0</v>
      </c>
      <c r="J49" s="169">
        <v>0</v>
      </c>
    </row>
    <row r="50" spans="1:10" ht="31.5">
      <c r="A50" s="168" t="s">
        <v>91</v>
      </c>
      <c r="B50" s="22" t="s">
        <v>149</v>
      </c>
      <c r="C50" s="22" t="s">
        <v>92</v>
      </c>
      <c r="D50" s="22"/>
      <c r="E50" s="22"/>
      <c r="F50" s="22"/>
      <c r="G50" s="22"/>
      <c r="H50" s="22"/>
      <c r="I50" s="124">
        <f>I51</f>
        <v>350000</v>
      </c>
      <c r="J50" s="124">
        <f>J51</f>
        <v>350000</v>
      </c>
    </row>
    <row r="51" spans="1:10" ht="51" customHeight="1">
      <c r="A51" s="168" t="s">
        <v>242</v>
      </c>
      <c r="B51" s="22" t="s">
        <v>149</v>
      </c>
      <c r="C51" s="22" t="s">
        <v>93</v>
      </c>
      <c r="D51" s="22"/>
      <c r="E51" s="22"/>
      <c r="F51" s="22"/>
      <c r="G51" s="22"/>
      <c r="H51" s="22"/>
      <c r="I51" s="124">
        <f>I52</f>
        <v>350000</v>
      </c>
      <c r="J51" s="124">
        <f>J52</f>
        <v>350000</v>
      </c>
    </row>
    <row r="52" spans="1:10" ht="63">
      <c r="A52" s="60" t="s">
        <v>586</v>
      </c>
      <c r="B52" s="21" t="s">
        <v>149</v>
      </c>
      <c r="C52" s="21" t="s">
        <v>93</v>
      </c>
      <c r="D52" s="21">
        <v>11</v>
      </c>
      <c r="E52" s="21" t="s">
        <v>68</v>
      </c>
      <c r="F52" s="21" t="s">
        <v>115</v>
      </c>
      <c r="G52" s="21" t="s">
        <v>493</v>
      </c>
      <c r="H52" s="21" t="s">
        <v>160</v>
      </c>
      <c r="I52" s="114">
        <v>350000</v>
      </c>
      <c r="J52" s="114">
        <v>350000</v>
      </c>
    </row>
    <row r="53" spans="1:10" ht="15.75">
      <c r="A53" s="168" t="s">
        <v>94</v>
      </c>
      <c r="B53" s="22" t="s">
        <v>149</v>
      </c>
      <c r="C53" s="22" t="s">
        <v>95</v>
      </c>
      <c r="D53" s="22"/>
      <c r="E53" s="22"/>
      <c r="F53" s="22"/>
      <c r="G53" s="22"/>
      <c r="H53" s="22"/>
      <c r="I53" s="172">
        <f>I54+I57+I67</f>
        <v>17072233.58</v>
      </c>
      <c r="J53" s="172">
        <f>J54+J57+J67</f>
        <v>8858712.14</v>
      </c>
    </row>
    <row r="54" spans="1:10" ht="18" customHeight="1">
      <c r="A54" s="168" t="s">
        <v>668</v>
      </c>
      <c r="B54" s="22" t="s">
        <v>149</v>
      </c>
      <c r="C54" s="22" t="s">
        <v>667</v>
      </c>
      <c r="D54" s="22"/>
      <c r="E54" s="22"/>
      <c r="F54" s="22"/>
      <c r="G54" s="22"/>
      <c r="H54" s="22"/>
      <c r="I54" s="172">
        <f>I55+I56</f>
        <v>22424.5</v>
      </c>
      <c r="J54" s="172">
        <f>J55+J56</f>
        <v>22424.5</v>
      </c>
    </row>
    <row r="55" spans="1:10" ht="99.75" customHeight="1">
      <c r="A55" s="156" t="s">
        <v>1359</v>
      </c>
      <c r="B55" s="112" t="s">
        <v>149</v>
      </c>
      <c r="C55" s="112" t="s">
        <v>667</v>
      </c>
      <c r="D55" s="112" t="s">
        <v>158</v>
      </c>
      <c r="E55" s="112" t="s">
        <v>114</v>
      </c>
      <c r="F55" s="112" t="s">
        <v>489</v>
      </c>
      <c r="G55" s="112" t="s">
        <v>669</v>
      </c>
      <c r="H55" s="112" t="s">
        <v>160</v>
      </c>
      <c r="I55" s="169">
        <v>22424.5</v>
      </c>
      <c r="J55" s="169">
        <v>22424.5</v>
      </c>
    </row>
    <row r="56" spans="1:10" ht="150" customHeight="1">
      <c r="A56" s="156" t="s">
        <v>599</v>
      </c>
      <c r="B56" s="112" t="s">
        <v>149</v>
      </c>
      <c r="C56" s="112" t="s">
        <v>667</v>
      </c>
      <c r="D56" s="112" t="s">
        <v>158</v>
      </c>
      <c r="E56" s="112" t="s">
        <v>114</v>
      </c>
      <c r="F56" s="112" t="s">
        <v>489</v>
      </c>
      <c r="G56" s="112" t="s">
        <v>725</v>
      </c>
      <c r="H56" s="112" t="s">
        <v>160</v>
      </c>
      <c r="I56" s="169">
        <v>0</v>
      </c>
      <c r="J56" s="169">
        <v>0</v>
      </c>
    </row>
    <row r="57" spans="1:10" ht="18" customHeight="1">
      <c r="A57" s="168" t="s">
        <v>56</v>
      </c>
      <c r="B57" s="22" t="s">
        <v>149</v>
      </c>
      <c r="C57" s="22" t="s">
        <v>96</v>
      </c>
      <c r="D57" s="22"/>
      <c r="E57" s="22"/>
      <c r="F57" s="22"/>
      <c r="G57" s="22"/>
      <c r="H57" s="22"/>
      <c r="I57" s="124">
        <f>SUM(I58:I66)</f>
        <v>16291809.08</v>
      </c>
      <c r="J57" s="124">
        <f>SUM(J58:J66)</f>
        <v>8078287.640000001</v>
      </c>
    </row>
    <row r="58" spans="1:10" ht="64.5" customHeight="1">
      <c r="A58" s="190" t="s">
        <v>873</v>
      </c>
      <c r="B58" s="21" t="s">
        <v>149</v>
      </c>
      <c r="C58" s="21" t="s">
        <v>96</v>
      </c>
      <c r="D58" s="21" t="s">
        <v>233</v>
      </c>
      <c r="E58" s="21" t="s">
        <v>68</v>
      </c>
      <c r="F58" s="21" t="s">
        <v>69</v>
      </c>
      <c r="G58" s="21" t="s">
        <v>494</v>
      </c>
      <c r="H58" s="21" t="s">
        <v>160</v>
      </c>
      <c r="I58" s="114">
        <v>3105606.06</v>
      </c>
      <c r="J58" s="114">
        <v>3105606.06</v>
      </c>
    </row>
    <row r="59" spans="1:10" ht="48.75" customHeight="1">
      <c r="A59" s="190" t="s">
        <v>874</v>
      </c>
      <c r="B59" s="21" t="s">
        <v>149</v>
      </c>
      <c r="C59" s="21" t="s">
        <v>96</v>
      </c>
      <c r="D59" s="21" t="s">
        <v>233</v>
      </c>
      <c r="E59" s="21" t="s">
        <v>68</v>
      </c>
      <c r="F59" s="21" t="s">
        <v>69</v>
      </c>
      <c r="G59" s="21" t="s">
        <v>919</v>
      </c>
      <c r="H59" s="21" t="s">
        <v>160</v>
      </c>
      <c r="I59" s="114">
        <v>4762681.58</v>
      </c>
      <c r="J59" s="114">
        <v>4762681.58</v>
      </c>
    </row>
    <row r="60" spans="1:10" ht="51" customHeight="1">
      <c r="A60" s="190" t="s">
        <v>889</v>
      </c>
      <c r="B60" s="21" t="s">
        <v>149</v>
      </c>
      <c r="C60" s="21" t="s">
        <v>96</v>
      </c>
      <c r="D60" s="21" t="s">
        <v>233</v>
      </c>
      <c r="E60" s="21" t="s">
        <v>68</v>
      </c>
      <c r="F60" s="21" t="s">
        <v>69</v>
      </c>
      <c r="G60" s="21" t="s">
        <v>920</v>
      </c>
      <c r="H60" s="21" t="s">
        <v>160</v>
      </c>
      <c r="I60" s="114">
        <v>0</v>
      </c>
      <c r="J60" s="114">
        <v>0</v>
      </c>
    </row>
    <row r="61" spans="1:11" ht="83.25" customHeight="1">
      <c r="A61" s="190" t="s">
        <v>1608</v>
      </c>
      <c r="B61" s="21" t="s">
        <v>149</v>
      </c>
      <c r="C61" s="21" t="s">
        <v>96</v>
      </c>
      <c r="D61" s="21" t="s">
        <v>233</v>
      </c>
      <c r="E61" s="21" t="s">
        <v>68</v>
      </c>
      <c r="F61" s="21" t="s">
        <v>69</v>
      </c>
      <c r="G61" s="21" t="s">
        <v>921</v>
      </c>
      <c r="H61" s="21" t="s">
        <v>160</v>
      </c>
      <c r="I61" s="114">
        <v>140000</v>
      </c>
      <c r="J61" s="114">
        <v>140000</v>
      </c>
      <c r="K61" s="190" t="s">
        <v>948</v>
      </c>
    </row>
    <row r="62" spans="1:10" ht="246" customHeight="1">
      <c r="A62" s="179" t="s">
        <v>732</v>
      </c>
      <c r="B62" s="112" t="s">
        <v>149</v>
      </c>
      <c r="C62" s="112" t="s">
        <v>96</v>
      </c>
      <c r="D62" s="112" t="s">
        <v>233</v>
      </c>
      <c r="E62" s="112" t="s">
        <v>68</v>
      </c>
      <c r="F62" s="112" t="s">
        <v>69</v>
      </c>
      <c r="G62" s="112" t="s">
        <v>731</v>
      </c>
      <c r="H62" s="112" t="s">
        <v>53</v>
      </c>
      <c r="I62" s="114">
        <v>0</v>
      </c>
      <c r="J62" s="114">
        <v>0</v>
      </c>
    </row>
    <row r="63" spans="1:10" ht="51" customHeight="1">
      <c r="A63" s="179" t="s">
        <v>875</v>
      </c>
      <c r="B63" s="112" t="s">
        <v>149</v>
      </c>
      <c r="C63" s="112" t="s">
        <v>96</v>
      </c>
      <c r="D63" s="112" t="s">
        <v>233</v>
      </c>
      <c r="E63" s="112" t="s">
        <v>60</v>
      </c>
      <c r="F63" s="112" t="s">
        <v>69</v>
      </c>
      <c r="G63" s="112" t="s">
        <v>619</v>
      </c>
      <c r="H63" s="112" t="s">
        <v>160</v>
      </c>
      <c r="I63" s="183">
        <v>50000</v>
      </c>
      <c r="J63" s="183">
        <v>50000</v>
      </c>
    </row>
    <row r="64" spans="1:10" ht="81.75" customHeight="1">
      <c r="A64" s="179" t="s">
        <v>1078</v>
      </c>
      <c r="B64" s="112" t="s">
        <v>149</v>
      </c>
      <c r="C64" s="112" t="s">
        <v>96</v>
      </c>
      <c r="D64" s="112" t="s">
        <v>233</v>
      </c>
      <c r="E64" s="112" t="s">
        <v>224</v>
      </c>
      <c r="F64" s="112" t="s">
        <v>69</v>
      </c>
      <c r="G64" s="112" t="s">
        <v>1080</v>
      </c>
      <c r="H64" s="112" t="s">
        <v>160</v>
      </c>
      <c r="I64" s="114">
        <v>0</v>
      </c>
      <c r="J64" s="114">
        <v>0</v>
      </c>
    </row>
    <row r="65" spans="1:10" ht="114.75" customHeight="1">
      <c r="A65" s="179" t="s">
        <v>1079</v>
      </c>
      <c r="B65" s="112" t="s">
        <v>149</v>
      </c>
      <c r="C65" s="112" t="s">
        <v>96</v>
      </c>
      <c r="D65" s="112" t="s">
        <v>233</v>
      </c>
      <c r="E65" s="112" t="s">
        <v>224</v>
      </c>
      <c r="F65" s="112" t="s">
        <v>69</v>
      </c>
      <c r="G65" s="112" t="s">
        <v>1081</v>
      </c>
      <c r="H65" s="112" t="s">
        <v>160</v>
      </c>
      <c r="I65" s="176">
        <v>20000</v>
      </c>
      <c r="J65" s="176">
        <v>20000</v>
      </c>
    </row>
    <row r="66" spans="1:10" ht="114.75" customHeight="1">
      <c r="A66" s="179" t="s">
        <v>1365</v>
      </c>
      <c r="B66" s="112" t="s">
        <v>149</v>
      </c>
      <c r="C66" s="112" t="s">
        <v>96</v>
      </c>
      <c r="D66" s="112" t="s">
        <v>233</v>
      </c>
      <c r="E66" s="112" t="s">
        <v>68</v>
      </c>
      <c r="F66" s="112" t="s">
        <v>69</v>
      </c>
      <c r="G66" s="112" t="s">
        <v>975</v>
      </c>
      <c r="H66" s="112" t="s">
        <v>160</v>
      </c>
      <c r="I66" s="114">
        <f>8135015.18-8053665.02+8053665.02+78506.26</f>
        <v>8213521.4399999995</v>
      </c>
      <c r="J66" s="114">
        <v>0</v>
      </c>
    </row>
    <row r="67" spans="1:10" ht="15.75">
      <c r="A67" s="168" t="s">
        <v>97</v>
      </c>
      <c r="B67" s="22" t="s">
        <v>149</v>
      </c>
      <c r="C67" s="22" t="s">
        <v>98</v>
      </c>
      <c r="D67" s="22"/>
      <c r="E67" s="22"/>
      <c r="F67" s="22"/>
      <c r="G67" s="22"/>
      <c r="H67" s="22"/>
      <c r="I67" s="124">
        <f>SUM(I68:I75)</f>
        <v>758000</v>
      </c>
      <c r="J67" s="124">
        <f>SUM(J68:J75)</f>
        <v>758000</v>
      </c>
    </row>
    <row r="68" spans="1:10" ht="96" customHeight="1">
      <c r="A68" s="122" t="s">
        <v>578</v>
      </c>
      <c r="B68" s="21" t="s">
        <v>149</v>
      </c>
      <c r="C68" s="21" t="s">
        <v>98</v>
      </c>
      <c r="D68" s="21" t="s">
        <v>69</v>
      </c>
      <c r="E68" s="21" t="s">
        <v>60</v>
      </c>
      <c r="F68" s="21" t="s">
        <v>69</v>
      </c>
      <c r="G68" s="21" t="s">
        <v>495</v>
      </c>
      <c r="H68" s="21" t="s">
        <v>160</v>
      </c>
      <c r="I68" s="114">
        <v>300000</v>
      </c>
      <c r="J68" s="114">
        <v>300000</v>
      </c>
    </row>
    <row r="69" spans="1:10" ht="51" customHeight="1">
      <c r="A69" s="60" t="s">
        <v>601</v>
      </c>
      <c r="B69" s="21" t="s">
        <v>149</v>
      </c>
      <c r="C69" s="21" t="s">
        <v>98</v>
      </c>
      <c r="D69" s="21" t="s">
        <v>57</v>
      </c>
      <c r="E69" s="21" t="s">
        <v>68</v>
      </c>
      <c r="F69" s="21" t="s">
        <v>69</v>
      </c>
      <c r="G69" s="21" t="s">
        <v>496</v>
      </c>
      <c r="H69" s="21" t="s">
        <v>160</v>
      </c>
      <c r="I69" s="169">
        <v>10000</v>
      </c>
      <c r="J69" s="169">
        <v>10000</v>
      </c>
    </row>
    <row r="70" spans="1:10" ht="52.5" customHeight="1">
      <c r="A70" s="59" t="s">
        <v>1272</v>
      </c>
      <c r="B70" s="21" t="s">
        <v>149</v>
      </c>
      <c r="C70" s="21" t="s">
        <v>98</v>
      </c>
      <c r="D70" s="21" t="s">
        <v>57</v>
      </c>
      <c r="E70" s="21" t="s">
        <v>68</v>
      </c>
      <c r="F70" s="21" t="s">
        <v>69</v>
      </c>
      <c r="G70" s="21" t="s">
        <v>497</v>
      </c>
      <c r="H70" s="21" t="s">
        <v>160</v>
      </c>
      <c r="I70" s="169">
        <v>20000</v>
      </c>
      <c r="J70" s="169">
        <v>20000</v>
      </c>
    </row>
    <row r="71" spans="1:10" ht="65.25" customHeight="1">
      <c r="A71" s="60" t="s">
        <v>589</v>
      </c>
      <c r="B71" s="21" t="s">
        <v>149</v>
      </c>
      <c r="C71" s="21" t="s">
        <v>98</v>
      </c>
      <c r="D71" s="21" t="s">
        <v>57</v>
      </c>
      <c r="E71" s="21" t="s">
        <v>68</v>
      </c>
      <c r="F71" s="21" t="s">
        <v>69</v>
      </c>
      <c r="G71" s="21" t="s">
        <v>498</v>
      </c>
      <c r="H71" s="21" t="s">
        <v>160</v>
      </c>
      <c r="I71" s="114">
        <v>0</v>
      </c>
      <c r="J71" s="114">
        <v>0</v>
      </c>
    </row>
    <row r="72" spans="1:10" ht="51" customHeight="1">
      <c r="A72" s="60" t="s">
        <v>613</v>
      </c>
      <c r="B72" s="21" t="s">
        <v>149</v>
      </c>
      <c r="C72" s="21" t="s">
        <v>98</v>
      </c>
      <c r="D72" s="21" t="s">
        <v>57</v>
      </c>
      <c r="E72" s="21" t="s">
        <v>68</v>
      </c>
      <c r="F72" s="21" t="s">
        <v>115</v>
      </c>
      <c r="G72" s="21" t="s">
        <v>612</v>
      </c>
      <c r="H72" s="21" t="s">
        <v>161</v>
      </c>
      <c r="I72" s="114">
        <v>258000</v>
      </c>
      <c r="J72" s="114">
        <v>258000</v>
      </c>
    </row>
    <row r="73" spans="1:10" ht="149.25" customHeight="1">
      <c r="A73" s="59" t="s">
        <v>1273</v>
      </c>
      <c r="B73" s="21" t="s">
        <v>149</v>
      </c>
      <c r="C73" s="21" t="s">
        <v>98</v>
      </c>
      <c r="D73" s="21" t="s">
        <v>57</v>
      </c>
      <c r="E73" s="21" t="s">
        <v>68</v>
      </c>
      <c r="F73" s="21" t="s">
        <v>115</v>
      </c>
      <c r="G73" s="21" t="s">
        <v>922</v>
      </c>
      <c r="H73" s="21" t="s">
        <v>161</v>
      </c>
      <c r="I73" s="114">
        <v>170000</v>
      </c>
      <c r="J73" s="114">
        <v>170000</v>
      </c>
    </row>
    <row r="74" spans="1:10" ht="84" customHeight="1">
      <c r="A74" s="60" t="s">
        <v>1178</v>
      </c>
      <c r="B74" s="21" t="s">
        <v>149</v>
      </c>
      <c r="C74" s="21" t="s">
        <v>98</v>
      </c>
      <c r="D74" s="21" t="s">
        <v>57</v>
      </c>
      <c r="E74" s="21" t="s">
        <v>60</v>
      </c>
      <c r="F74" s="21" t="s">
        <v>69</v>
      </c>
      <c r="G74" s="21" t="s">
        <v>1175</v>
      </c>
      <c r="H74" s="21" t="s">
        <v>160</v>
      </c>
      <c r="I74" s="79">
        <v>0</v>
      </c>
      <c r="J74" s="79">
        <v>0</v>
      </c>
    </row>
    <row r="75" spans="1:10" ht="99.75" customHeight="1">
      <c r="A75" s="60" t="s">
        <v>1179</v>
      </c>
      <c r="B75" s="21" t="s">
        <v>149</v>
      </c>
      <c r="C75" s="21" t="s">
        <v>98</v>
      </c>
      <c r="D75" s="21" t="s">
        <v>57</v>
      </c>
      <c r="E75" s="21" t="s">
        <v>60</v>
      </c>
      <c r="F75" s="21" t="s">
        <v>69</v>
      </c>
      <c r="G75" s="21" t="s">
        <v>1176</v>
      </c>
      <c r="H75" s="21" t="s">
        <v>160</v>
      </c>
      <c r="I75" s="79">
        <v>0</v>
      </c>
      <c r="J75" s="79">
        <v>0</v>
      </c>
    </row>
    <row r="76" spans="1:10" ht="19.5" customHeight="1">
      <c r="A76" s="168" t="s">
        <v>37</v>
      </c>
      <c r="B76" s="22" t="s">
        <v>149</v>
      </c>
      <c r="C76" s="22" t="s">
        <v>38</v>
      </c>
      <c r="D76" s="22"/>
      <c r="E76" s="22"/>
      <c r="F76" s="22"/>
      <c r="G76" s="22"/>
      <c r="H76" s="22"/>
      <c r="I76" s="124">
        <f>I77+I83+I87</f>
        <v>4247990.56</v>
      </c>
      <c r="J76" s="124">
        <f>J77+J83+J87</f>
        <v>4326496.82</v>
      </c>
    </row>
    <row r="77" spans="1:10" ht="19.5" customHeight="1">
      <c r="A77" s="170" t="s">
        <v>129</v>
      </c>
      <c r="B77" s="28">
        <v>900</v>
      </c>
      <c r="C77" s="29" t="s">
        <v>130</v>
      </c>
      <c r="D77" s="29"/>
      <c r="E77" s="29"/>
      <c r="F77" s="29"/>
      <c r="G77" s="29"/>
      <c r="H77" s="29"/>
      <c r="I77" s="182">
        <f>SUM(I78:I82)</f>
        <v>2978103.62</v>
      </c>
      <c r="J77" s="182">
        <f>SUM(J78:J82)</f>
        <v>2978103.62</v>
      </c>
    </row>
    <row r="78" spans="1:10" ht="47.25">
      <c r="A78" s="60" t="s">
        <v>629</v>
      </c>
      <c r="B78" s="61">
        <v>900</v>
      </c>
      <c r="C78" s="62" t="s">
        <v>130</v>
      </c>
      <c r="D78" s="62" t="s">
        <v>61</v>
      </c>
      <c r="E78" s="62" t="s">
        <v>139</v>
      </c>
      <c r="F78" s="62" t="s">
        <v>69</v>
      </c>
      <c r="G78" s="62" t="s">
        <v>663</v>
      </c>
      <c r="H78" s="62" t="s">
        <v>160</v>
      </c>
      <c r="I78" s="181">
        <v>1235573.6</v>
      </c>
      <c r="J78" s="181">
        <v>1235573.6</v>
      </c>
    </row>
    <row r="79" spans="1:10" ht="63">
      <c r="A79" s="60" t="s">
        <v>1004</v>
      </c>
      <c r="B79" s="61">
        <v>900</v>
      </c>
      <c r="C79" s="62" t="s">
        <v>130</v>
      </c>
      <c r="D79" s="62" t="s">
        <v>61</v>
      </c>
      <c r="E79" s="62" t="s">
        <v>139</v>
      </c>
      <c r="F79" s="62" t="s">
        <v>69</v>
      </c>
      <c r="G79" s="62" t="s">
        <v>1003</v>
      </c>
      <c r="H79" s="62" t="s">
        <v>160</v>
      </c>
      <c r="I79" s="181">
        <v>1546853.1</v>
      </c>
      <c r="J79" s="181">
        <v>1546853.1</v>
      </c>
    </row>
    <row r="80" spans="1:10" ht="62.25" customHeight="1">
      <c r="A80" s="188" t="s">
        <v>934</v>
      </c>
      <c r="B80" s="61">
        <v>900</v>
      </c>
      <c r="C80" s="62" t="s">
        <v>130</v>
      </c>
      <c r="D80" s="62" t="s">
        <v>61</v>
      </c>
      <c r="E80" s="62" t="s">
        <v>936</v>
      </c>
      <c r="F80" s="62" t="s">
        <v>69</v>
      </c>
      <c r="G80" s="62" t="s">
        <v>937</v>
      </c>
      <c r="H80" s="62" t="s">
        <v>160</v>
      </c>
      <c r="I80" s="181">
        <v>0</v>
      </c>
      <c r="J80" s="181">
        <v>0</v>
      </c>
    </row>
    <row r="81" spans="1:10" ht="78.75">
      <c r="A81" s="188" t="s">
        <v>1009</v>
      </c>
      <c r="B81" s="61">
        <v>900</v>
      </c>
      <c r="C81" s="62" t="s">
        <v>130</v>
      </c>
      <c r="D81" s="62" t="s">
        <v>61</v>
      </c>
      <c r="E81" s="62" t="s">
        <v>139</v>
      </c>
      <c r="F81" s="62" t="s">
        <v>69</v>
      </c>
      <c r="G81" s="62" t="s">
        <v>1076</v>
      </c>
      <c r="H81" s="62" t="s">
        <v>161</v>
      </c>
      <c r="I81" s="181">
        <v>195676.92</v>
      </c>
      <c r="J81" s="181">
        <v>195676.92</v>
      </c>
    </row>
    <row r="82" spans="1:10" ht="47.25">
      <c r="A82" s="188" t="s">
        <v>964</v>
      </c>
      <c r="B82" s="61">
        <v>900</v>
      </c>
      <c r="C82" s="62" t="s">
        <v>130</v>
      </c>
      <c r="D82" s="62" t="s">
        <v>61</v>
      </c>
      <c r="E82" s="62" t="s">
        <v>936</v>
      </c>
      <c r="F82" s="62" t="s">
        <v>69</v>
      </c>
      <c r="G82" s="62" t="s">
        <v>965</v>
      </c>
      <c r="H82" s="62" t="s">
        <v>160</v>
      </c>
      <c r="I82" s="123">
        <v>0</v>
      </c>
      <c r="J82" s="123">
        <v>0</v>
      </c>
    </row>
    <row r="83" spans="1:10" ht="15.75">
      <c r="A83" s="168" t="s">
        <v>131</v>
      </c>
      <c r="B83" s="22" t="s">
        <v>149</v>
      </c>
      <c r="C83" s="22" t="s">
        <v>132</v>
      </c>
      <c r="D83" s="22"/>
      <c r="E83" s="22"/>
      <c r="F83" s="22"/>
      <c r="G83" s="22"/>
      <c r="H83" s="22"/>
      <c r="I83" s="124">
        <f>SUM(I84:I86)</f>
        <v>294298.8</v>
      </c>
      <c r="J83" s="124">
        <f>SUM(J84:J86)</f>
        <v>372805.06</v>
      </c>
    </row>
    <row r="84" spans="1:10" ht="51" customHeight="1">
      <c r="A84" s="60" t="s">
        <v>590</v>
      </c>
      <c r="B84" s="21" t="s">
        <v>149</v>
      </c>
      <c r="C84" s="21" t="s">
        <v>132</v>
      </c>
      <c r="D84" s="21" t="s">
        <v>61</v>
      </c>
      <c r="E84" s="21" t="s">
        <v>68</v>
      </c>
      <c r="F84" s="21" t="s">
        <v>69</v>
      </c>
      <c r="G84" s="21" t="s">
        <v>499</v>
      </c>
      <c r="H84" s="21" t="s">
        <v>160</v>
      </c>
      <c r="I84" s="114">
        <v>255625.06</v>
      </c>
      <c r="J84" s="114">
        <v>255625.06</v>
      </c>
    </row>
    <row r="85" spans="1:10" ht="51" customHeight="1">
      <c r="A85" s="156" t="s">
        <v>1382</v>
      </c>
      <c r="B85" s="112" t="s">
        <v>149</v>
      </c>
      <c r="C85" s="112" t="s">
        <v>132</v>
      </c>
      <c r="D85" s="112" t="s">
        <v>61</v>
      </c>
      <c r="E85" s="112" t="s">
        <v>68</v>
      </c>
      <c r="F85" s="112" t="s">
        <v>69</v>
      </c>
      <c r="G85" s="112" t="s">
        <v>1362</v>
      </c>
      <c r="H85" s="112" t="s">
        <v>939</v>
      </c>
      <c r="I85" s="114">
        <v>0</v>
      </c>
      <c r="J85" s="114">
        <v>0</v>
      </c>
    </row>
    <row r="86" spans="1:10" ht="71.25" customHeight="1">
      <c r="A86" s="60" t="s">
        <v>598</v>
      </c>
      <c r="B86" s="21" t="s">
        <v>149</v>
      </c>
      <c r="C86" s="21" t="s">
        <v>132</v>
      </c>
      <c r="D86" s="21" t="s">
        <v>158</v>
      </c>
      <c r="E86" s="21" t="s">
        <v>114</v>
      </c>
      <c r="F86" s="21" t="s">
        <v>489</v>
      </c>
      <c r="G86" s="21" t="s">
        <v>500</v>
      </c>
      <c r="H86" s="21" t="s">
        <v>160</v>
      </c>
      <c r="I86" s="114">
        <f>117180-78506.26</f>
        <v>38673.740000000005</v>
      </c>
      <c r="J86" s="114">
        <v>117180</v>
      </c>
    </row>
    <row r="87" spans="1:10" ht="15.75">
      <c r="A87" s="168" t="s">
        <v>631</v>
      </c>
      <c r="B87" s="22" t="s">
        <v>149</v>
      </c>
      <c r="C87" s="22" t="s">
        <v>630</v>
      </c>
      <c r="D87" s="22"/>
      <c r="E87" s="22"/>
      <c r="F87" s="22"/>
      <c r="G87" s="22"/>
      <c r="H87" s="22"/>
      <c r="I87" s="124">
        <f>SUM(I88:I97)</f>
        <v>975588.14</v>
      </c>
      <c r="J87" s="124">
        <f>SUM(J88:J97)</f>
        <v>975588.14</v>
      </c>
    </row>
    <row r="88" spans="1:10" ht="65.25" customHeight="1">
      <c r="A88" s="60" t="s">
        <v>648</v>
      </c>
      <c r="B88" s="21" t="s">
        <v>149</v>
      </c>
      <c r="C88" s="21" t="s">
        <v>630</v>
      </c>
      <c r="D88" s="21" t="s">
        <v>61</v>
      </c>
      <c r="E88" s="21" t="s">
        <v>60</v>
      </c>
      <c r="F88" s="21" t="s">
        <v>69</v>
      </c>
      <c r="G88" s="21" t="s">
        <v>664</v>
      </c>
      <c r="H88" s="21" t="s">
        <v>160</v>
      </c>
      <c r="I88" s="114">
        <v>261044.73</v>
      </c>
      <c r="J88" s="114">
        <v>261044.73</v>
      </c>
    </row>
    <row r="89" spans="1:10" ht="63" customHeight="1">
      <c r="A89" s="60" t="s">
        <v>636</v>
      </c>
      <c r="B89" s="21" t="s">
        <v>149</v>
      </c>
      <c r="C89" s="21" t="s">
        <v>630</v>
      </c>
      <c r="D89" s="21" t="s">
        <v>61</v>
      </c>
      <c r="E89" s="21" t="s">
        <v>60</v>
      </c>
      <c r="F89" s="21" t="s">
        <v>69</v>
      </c>
      <c r="G89" s="21" t="s">
        <v>665</v>
      </c>
      <c r="H89" s="21" t="s">
        <v>160</v>
      </c>
      <c r="I89" s="114">
        <v>240038.66</v>
      </c>
      <c r="J89" s="114">
        <v>240038.66</v>
      </c>
    </row>
    <row r="90" spans="1:10" ht="98.25" customHeight="1">
      <c r="A90" s="60" t="s">
        <v>1153</v>
      </c>
      <c r="B90" s="21" t="s">
        <v>149</v>
      </c>
      <c r="C90" s="21" t="s">
        <v>630</v>
      </c>
      <c r="D90" s="21" t="s">
        <v>61</v>
      </c>
      <c r="E90" s="21" t="s">
        <v>60</v>
      </c>
      <c r="F90" s="21" t="s">
        <v>69</v>
      </c>
      <c r="G90" s="21" t="s">
        <v>1154</v>
      </c>
      <c r="H90" s="21" t="s">
        <v>161</v>
      </c>
      <c r="I90" s="79">
        <v>0</v>
      </c>
      <c r="J90" s="79">
        <v>0</v>
      </c>
    </row>
    <row r="91" spans="1:10" ht="69" customHeight="1">
      <c r="A91" s="60" t="s">
        <v>1145</v>
      </c>
      <c r="B91" s="21" t="s">
        <v>149</v>
      </c>
      <c r="C91" s="21" t="s">
        <v>630</v>
      </c>
      <c r="D91" s="21" t="s">
        <v>61</v>
      </c>
      <c r="E91" s="21" t="s">
        <v>60</v>
      </c>
      <c r="F91" s="21" t="s">
        <v>69</v>
      </c>
      <c r="G91" s="21" t="s">
        <v>1148</v>
      </c>
      <c r="H91" s="21" t="s">
        <v>160</v>
      </c>
      <c r="I91" s="79">
        <v>0</v>
      </c>
      <c r="J91" s="79">
        <v>0</v>
      </c>
    </row>
    <row r="92" spans="1:10" ht="70.5" customHeight="1">
      <c r="A92" s="60" t="s">
        <v>1146</v>
      </c>
      <c r="B92" s="21" t="s">
        <v>149</v>
      </c>
      <c r="C92" s="21" t="s">
        <v>630</v>
      </c>
      <c r="D92" s="21" t="s">
        <v>61</v>
      </c>
      <c r="E92" s="21" t="s">
        <v>60</v>
      </c>
      <c r="F92" s="21" t="s">
        <v>69</v>
      </c>
      <c r="G92" s="21" t="s">
        <v>1149</v>
      </c>
      <c r="H92" s="21" t="s">
        <v>160</v>
      </c>
      <c r="I92" s="79">
        <v>0</v>
      </c>
      <c r="J92" s="79">
        <v>0</v>
      </c>
    </row>
    <row r="93" spans="1:10" ht="63">
      <c r="A93" s="60" t="s">
        <v>1147</v>
      </c>
      <c r="B93" s="21" t="s">
        <v>149</v>
      </c>
      <c r="C93" s="21" t="s">
        <v>630</v>
      </c>
      <c r="D93" s="21" t="s">
        <v>61</v>
      </c>
      <c r="E93" s="21" t="s">
        <v>90</v>
      </c>
      <c r="F93" s="21" t="s">
        <v>69</v>
      </c>
      <c r="G93" s="21" t="s">
        <v>1150</v>
      </c>
      <c r="H93" s="21" t="s">
        <v>160</v>
      </c>
      <c r="I93" s="79">
        <v>0</v>
      </c>
      <c r="J93" s="79">
        <v>0</v>
      </c>
    </row>
    <row r="94" spans="1:10" ht="110.25">
      <c r="A94" s="156" t="s">
        <v>734</v>
      </c>
      <c r="B94" s="112" t="s">
        <v>149</v>
      </c>
      <c r="C94" s="112" t="s">
        <v>630</v>
      </c>
      <c r="D94" s="112" t="s">
        <v>61</v>
      </c>
      <c r="E94" s="112" t="s">
        <v>60</v>
      </c>
      <c r="F94" s="112" t="s">
        <v>69</v>
      </c>
      <c r="G94" s="112" t="s">
        <v>1228</v>
      </c>
      <c r="H94" s="112" t="s">
        <v>53</v>
      </c>
      <c r="I94" s="114">
        <v>0</v>
      </c>
      <c r="J94" s="114">
        <v>0</v>
      </c>
    </row>
    <row r="95" spans="1:10" ht="141.75">
      <c r="A95" s="156" t="s">
        <v>1215</v>
      </c>
      <c r="B95" s="112" t="s">
        <v>149</v>
      </c>
      <c r="C95" s="112" t="s">
        <v>630</v>
      </c>
      <c r="D95" s="112" t="s">
        <v>158</v>
      </c>
      <c r="E95" s="112" t="s">
        <v>114</v>
      </c>
      <c r="F95" s="112" t="s">
        <v>489</v>
      </c>
      <c r="G95" s="112" t="s">
        <v>1214</v>
      </c>
      <c r="H95" s="112" t="s">
        <v>161</v>
      </c>
      <c r="I95" s="114">
        <v>69684.75</v>
      </c>
      <c r="J95" s="114">
        <v>69684.75</v>
      </c>
    </row>
    <row r="96" spans="1:10" ht="94.5">
      <c r="A96" s="156" t="s">
        <v>721</v>
      </c>
      <c r="B96" s="112" t="s">
        <v>149</v>
      </c>
      <c r="C96" s="112" t="s">
        <v>630</v>
      </c>
      <c r="D96" s="112" t="s">
        <v>61</v>
      </c>
      <c r="E96" s="112" t="s">
        <v>90</v>
      </c>
      <c r="F96" s="112" t="s">
        <v>69</v>
      </c>
      <c r="G96" s="112" t="s">
        <v>722</v>
      </c>
      <c r="H96" s="112" t="s">
        <v>53</v>
      </c>
      <c r="I96" s="114">
        <v>0</v>
      </c>
      <c r="J96" s="114">
        <v>0</v>
      </c>
    </row>
    <row r="97" spans="1:10" ht="71.25" customHeight="1">
      <c r="A97" s="191" t="s">
        <v>638</v>
      </c>
      <c r="B97" s="112" t="s">
        <v>149</v>
      </c>
      <c r="C97" s="112" t="s">
        <v>630</v>
      </c>
      <c r="D97" s="112" t="s">
        <v>61</v>
      </c>
      <c r="E97" s="112" t="s">
        <v>90</v>
      </c>
      <c r="F97" s="112" t="s">
        <v>69</v>
      </c>
      <c r="G97" s="112" t="s">
        <v>666</v>
      </c>
      <c r="H97" s="112" t="s">
        <v>160</v>
      </c>
      <c r="I97" s="114">
        <v>404820</v>
      </c>
      <c r="J97" s="114">
        <v>404820</v>
      </c>
    </row>
    <row r="98" spans="1:10" ht="15.75">
      <c r="A98" s="168" t="s">
        <v>133</v>
      </c>
      <c r="B98" s="28">
        <v>900</v>
      </c>
      <c r="C98" s="29" t="s">
        <v>134</v>
      </c>
      <c r="D98" s="29"/>
      <c r="E98" s="29"/>
      <c r="F98" s="29"/>
      <c r="G98" s="29"/>
      <c r="H98" s="29"/>
      <c r="I98" s="182">
        <f>I99</f>
        <v>19000</v>
      </c>
      <c r="J98" s="182">
        <f>J99</f>
        <v>0</v>
      </c>
    </row>
    <row r="99" spans="1:10" ht="15.75">
      <c r="A99" s="168" t="s">
        <v>135</v>
      </c>
      <c r="B99" s="28">
        <v>900</v>
      </c>
      <c r="C99" s="29" t="s">
        <v>136</v>
      </c>
      <c r="D99" s="29"/>
      <c r="E99" s="29"/>
      <c r="F99" s="29"/>
      <c r="G99" s="29"/>
      <c r="H99" s="29"/>
      <c r="I99" s="182">
        <f>SUM(I100:I102)</f>
        <v>19000</v>
      </c>
      <c r="J99" s="182">
        <f>SUM(J100:J102)</f>
        <v>0</v>
      </c>
    </row>
    <row r="100" spans="1:10" ht="78.75">
      <c r="A100" s="122" t="s">
        <v>989</v>
      </c>
      <c r="B100" s="61">
        <v>900</v>
      </c>
      <c r="C100" s="62" t="s">
        <v>136</v>
      </c>
      <c r="D100" s="62">
        <v>11</v>
      </c>
      <c r="E100" s="62" t="s">
        <v>60</v>
      </c>
      <c r="F100" s="62" t="s">
        <v>69</v>
      </c>
      <c r="G100" s="62" t="s">
        <v>501</v>
      </c>
      <c r="H100" s="62" t="s">
        <v>160</v>
      </c>
      <c r="I100" s="181">
        <v>4000</v>
      </c>
      <c r="J100" s="181">
        <v>0</v>
      </c>
    </row>
    <row r="101" spans="1:10" ht="63">
      <c r="A101" s="60" t="s">
        <v>1163</v>
      </c>
      <c r="B101" s="61">
        <v>900</v>
      </c>
      <c r="C101" s="62" t="s">
        <v>136</v>
      </c>
      <c r="D101" s="62">
        <v>11</v>
      </c>
      <c r="E101" s="62" t="s">
        <v>68</v>
      </c>
      <c r="F101" s="62" t="s">
        <v>233</v>
      </c>
      <c r="G101" s="62" t="s">
        <v>990</v>
      </c>
      <c r="H101" s="62" t="s">
        <v>160</v>
      </c>
      <c r="I101" s="114">
        <v>9000</v>
      </c>
      <c r="J101" s="114">
        <v>0</v>
      </c>
    </row>
    <row r="102" spans="1:10" ht="66.75" customHeight="1">
      <c r="A102" s="60" t="s">
        <v>1164</v>
      </c>
      <c r="B102" s="61">
        <v>900</v>
      </c>
      <c r="C102" s="62" t="s">
        <v>136</v>
      </c>
      <c r="D102" s="62">
        <v>11</v>
      </c>
      <c r="E102" s="62" t="s">
        <v>68</v>
      </c>
      <c r="F102" s="62" t="s">
        <v>233</v>
      </c>
      <c r="G102" s="62" t="s">
        <v>1165</v>
      </c>
      <c r="H102" s="62" t="s">
        <v>160</v>
      </c>
      <c r="I102" s="181">
        <v>6000</v>
      </c>
      <c r="J102" s="181">
        <v>0</v>
      </c>
    </row>
    <row r="103" spans="1:10" ht="15.75">
      <c r="A103" s="168" t="s">
        <v>137</v>
      </c>
      <c r="B103" s="22" t="s">
        <v>149</v>
      </c>
      <c r="C103" s="22" t="s">
        <v>138</v>
      </c>
      <c r="D103" s="22"/>
      <c r="E103" s="22"/>
      <c r="F103" s="22"/>
      <c r="G103" s="22"/>
      <c r="H103" s="22"/>
      <c r="I103" s="124">
        <f>I104</f>
        <v>10140280</v>
      </c>
      <c r="J103" s="124">
        <f>J104</f>
        <v>10140280</v>
      </c>
    </row>
    <row r="104" spans="1:10" ht="20.25" customHeight="1">
      <c r="A104" s="168" t="s">
        <v>156</v>
      </c>
      <c r="B104" s="22" t="s">
        <v>149</v>
      </c>
      <c r="C104" s="22" t="s">
        <v>157</v>
      </c>
      <c r="D104" s="22"/>
      <c r="E104" s="22"/>
      <c r="F104" s="22"/>
      <c r="G104" s="22"/>
      <c r="H104" s="22"/>
      <c r="I104" s="124">
        <f>SUM(I105:I118)</f>
        <v>10140280</v>
      </c>
      <c r="J104" s="124">
        <f>SUM(J105:J118)</f>
        <v>10140280</v>
      </c>
    </row>
    <row r="105" spans="1:10" ht="84.75" customHeight="1">
      <c r="A105" s="60" t="s">
        <v>389</v>
      </c>
      <c r="B105" s="21" t="s">
        <v>149</v>
      </c>
      <c r="C105" s="21" t="s">
        <v>157</v>
      </c>
      <c r="D105" s="21" t="s">
        <v>59</v>
      </c>
      <c r="E105" s="21" t="s">
        <v>68</v>
      </c>
      <c r="F105" s="21" t="s">
        <v>69</v>
      </c>
      <c r="G105" s="21" t="s">
        <v>502</v>
      </c>
      <c r="H105" s="21" t="s">
        <v>106</v>
      </c>
      <c r="I105" s="183">
        <f>3716924.9-61700</f>
        <v>3655224.9</v>
      </c>
      <c r="J105" s="183">
        <f>3716924.9-61700</f>
        <v>3655224.9</v>
      </c>
    </row>
    <row r="106" spans="1:10" ht="82.5" customHeight="1">
      <c r="A106" s="156" t="s">
        <v>556</v>
      </c>
      <c r="B106" s="112" t="s">
        <v>149</v>
      </c>
      <c r="C106" s="112" t="s">
        <v>157</v>
      </c>
      <c r="D106" s="112" t="s">
        <v>59</v>
      </c>
      <c r="E106" s="112" t="s">
        <v>68</v>
      </c>
      <c r="F106" s="112" t="s">
        <v>69</v>
      </c>
      <c r="G106" s="112" t="s">
        <v>559</v>
      </c>
      <c r="H106" s="112" t="s">
        <v>106</v>
      </c>
      <c r="I106" s="184">
        <v>0</v>
      </c>
      <c r="J106" s="184">
        <v>0</v>
      </c>
    </row>
    <row r="107" spans="1:10" ht="114" customHeight="1">
      <c r="A107" s="156" t="s">
        <v>503</v>
      </c>
      <c r="B107" s="112" t="s">
        <v>149</v>
      </c>
      <c r="C107" s="112" t="s">
        <v>157</v>
      </c>
      <c r="D107" s="112" t="s">
        <v>59</v>
      </c>
      <c r="E107" s="112" t="s">
        <v>68</v>
      </c>
      <c r="F107" s="112" t="s">
        <v>69</v>
      </c>
      <c r="G107" s="112" t="s">
        <v>504</v>
      </c>
      <c r="H107" s="112" t="s">
        <v>106</v>
      </c>
      <c r="I107" s="184">
        <v>0</v>
      </c>
      <c r="J107" s="184">
        <v>0</v>
      </c>
    </row>
    <row r="108" spans="1:10" ht="84" customHeight="1">
      <c r="A108" s="60" t="s">
        <v>396</v>
      </c>
      <c r="B108" s="21" t="s">
        <v>149</v>
      </c>
      <c r="C108" s="21" t="s">
        <v>157</v>
      </c>
      <c r="D108" s="21" t="s">
        <v>59</v>
      </c>
      <c r="E108" s="21" t="s">
        <v>60</v>
      </c>
      <c r="F108" s="21" t="s">
        <v>69</v>
      </c>
      <c r="G108" s="21" t="s">
        <v>505</v>
      </c>
      <c r="H108" s="21" t="s">
        <v>106</v>
      </c>
      <c r="I108" s="183">
        <v>6353055.1</v>
      </c>
      <c r="J108" s="183">
        <v>6353055.1</v>
      </c>
    </row>
    <row r="109" spans="1:10" ht="99" customHeight="1">
      <c r="A109" s="156" t="s">
        <v>556</v>
      </c>
      <c r="B109" s="112" t="s">
        <v>149</v>
      </c>
      <c r="C109" s="112" t="s">
        <v>157</v>
      </c>
      <c r="D109" s="112" t="s">
        <v>59</v>
      </c>
      <c r="E109" s="112" t="s">
        <v>60</v>
      </c>
      <c r="F109" s="112" t="s">
        <v>69</v>
      </c>
      <c r="G109" s="112" t="s">
        <v>559</v>
      </c>
      <c r="H109" s="112" t="s">
        <v>106</v>
      </c>
      <c r="I109" s="184">
        <v>0</v>
      </c>
      <c r="J109" s="184">
        <v>0</v>
      </c>
    </row>
    <row r="110" spans="1:10" ht="119.25" customHeight="1">
      <c r="A110" s="156" t="s">
        <v>506</v>
      </c>
      <c r="B110" s="112" t="s">
        <v>149</v>
      </c>
      <c r="C110" s="112" t="s">
        <v>157</v>
      </c>
      <c r="D110" s="112" t="s">
        <v>59</v>
      </c>
      <c r="E110" s="112" t="s">
        <v>60</v>
      </c>
      <c r="F110" s="112" t="s">
        <v>69</v>
      </c>
      <c r="G110" s="112" t="s">
        <v>504</v>
      </c>
      <c r="H110" s="112" t="s">
        <v>106</v>
      </c>
      <c r="I110" s="184">
        <v>0</v>
      </c>
      <c r="J110" s="184">
        <v>0</v>
      </c>
    </row>
    <row r="111" spans="1:10" ht="80.25" customHeight="1">
      <c r="A111" s="156" t="s">
        <v>1098</v>
      </c>
      <c r="B111" s="112" t="s">
        <v>149</v>
      </c>
      <c r="C111" s="112" t="s">
        <v>157</v>
      </c>
      <c r="D111" s="112" t="s">
        <v>59</v>
      </c>
      <c r="E111" s="112" t="s">
        <v>68</v>
      </c>
      <c r="F111" s="112" t="s">
        <v>69</v>
      </c>
      <c r="G111" s="112" t="s">
        <v>1099</v>
      </c>
      <c r="H111" s="112" t="s">
        <v>106</v>
      </c>
      <c r="I111" s="184">
        <v>0</v>
      </c>
      <c r="J111" s="184">
        <v>0</v>
      </c>
    </row>
    <row r="112" spans="1:10" ht="66" customHeight="1">
      <c r="A112" s="156" t="s">
        <v>1104</v>
      </c>
      <c r="B112" s="112" t="s">
        <v>149</v>
      </c>
      <c r="C112" s="112" t="s">
        <v>157</v>
      </c>
      <c r="D112" s="112" t="s">
        <v>59</v>
      </c>
      <c r="E112" s="112" t="s">
        <v>68</v>
      </c>
      <c r="F112" s="112" t="s">
        <v>69</v>
      </c>
      <c r="G112" s="112" t="s">
        <v>1105</v>
      </c>
      <c r="H112" s="112" t="s">
        <v>106</v>
      </c>
      <c r="I112" s="184">
        <v>0</v>
      </c>
      <c r="J112" s="184">
        <v>0</v>
      </c>
    </row>
    <row r="113" spans="1:10" ht="66.75" customHeight="1">
      <c r="A113" s="156" t="s">
        <v>1133</v>
      </c>
      <c r="B113" s="112" t="s">
        <v>149</v>
      </c>
      <c r="C113" s="112" t="s">
        <v>157</v>
      </c>
      <c r="D113" s="112" t="s">
        <v>59</v>
      </c>
      <c r="E113" s="112" t="s">
        <v>68</v>
      </c>
      <c r="F113" s="112" t="s">
        <v>69</v>
      </c>
      <c r="G113" s="112" t="s">
        <v>1127</v>
      </c>
      <c r="H113" s="112" t="s">
        <v>106</v>
      </c>
      <c r="I113" s="184">
        <v>0</v>
      </c>
      <c r="J113" s="184">
        <v>0</v>
      </c>
    </row>
    <row r="114" spans="1:10" ht="68.25" customHeight="1">
      <c r="A114" s="156" t="s">
        <v>1100</v>
      </c>
      <c r="B114" s="112" t="s">
        <v>149</v>
      </c>
      <c r="C114" s="112" t="s">
        <v>157</v>
      </c>
      <c r="D114" s="112" t="s">
        <v>59</v>
      </c>
      <c r="E114" s="112" t="s">
        <v>60</v>
      </c>
      <c r="F114" s="112" t="s">
        <v>69</v>
      </c>
      <c r="G114" s="112" t="s">
        <v>1101</v>
      </c>
      <c r="H114" s="112" t="s">
        <v>106</v>
      </c>
      <c r="I114" s="169">
        <v>0</v>
      </c>
      <c r="J114" s="169">
        <v>0</v>
      </c>
    </row>
    <row r="115" spans="1:10" ht="81" customHeight="1">
      <c r="A115" s="156" t="s">
        <v>1102</v>
      </c>
      <c r="B115" s="112" t="s">
        <v>149</v>
      </c>
      <c r="C115" s="112" t="s">
        <v>157</v>
      </c>
      <c r="D115" s="112" t="s">
        <v>59</v>
      </c>
      <c r="E115" s="112" t="s">
        <v>60</v>
      </c>
      <c r="F115" s="112" t="s">
        <v>69</v>
      </c>
      <c r="G115" s="112" t="s">
        <v>1103</v>
      </c>
      <c r="H115" s="112" t="s">
        <v>106</v>
      </c>
      <c r="I115" s="184">
        <v>0</v>
      </c>
      <c r="J115" s="184">
        <v>0</v>
      </c>
    </row>
    <row r="116" spans="1:10" ht="68.25" customHeight="1">
      <c r="A116" s="156" t="s">
        <v>1134</v>
      </c>
      <c r="B116" s="112" t="s">
        <v>149</v>
      </c>
      <c r="C116" s="112" t="s">
        <v>157</v>
      </c>
      <c r="D116" s="112" t="s">
        <v>59</v>
      </c>
      <c r="E116" s="112" t="s">
        <v>60</v>
      </c>
      <c r="F116" s="112" t="s">
        <v>69</v>
      </c>
      <c r="G116" s="112" t="s">
        <v>1129</v>
      </c>
      <c r="H116" s="112" t="s">
        <v>106</v>
      </c>
      <c r="I116" s="184">
        <v>0</v>
      </c>
      <c r="J116" s="184">
        <v>0</v>
      </c>
    </row>
    <row r="117" spans="1:10" ht="67.5" customHeight="1">
      <c r="A117" s="156" t="s">
        <v>1312</v>
      </c>
      <c r="B117" s="112" t="s">
        <v>149</v>
      </c>
      <c r="C117" s="112" t="s">
        <v>157</v>
      </c>
      <c r="D117" s="112" t="s">
        <v>59</v>
      </c>
      <c r="E117" s="112" t="s">
        <v>68</v>
      </c>
      <c r="F117" s="112" t="s">
        <v>115</v>
      </c>
      <c r="G117" s="112" t="s">
        <v>1330</v>
      </c>
      <c r="H117" s="112" t="s">
        <v>106</v>
      </c>
      <c r="I117" s="169">
        <f>70300+61700</f>
        <v>132000</v>
      </c>
      <c r="J117" s="169">
        <f>70300+61700</f>
        <v>132000</v>
      </c>
    </row>
    <row r="118" spans="1:10" ht="66" customHeight="1">
      <c r="A118" s="156" t="s">
        <v>545</v>
      </c>
      <c r="B118" s="112" t="s">
        <v>149</v>
      </c>
      <c r="C118" s="112" t="s">
        <v>157</v>
      </c>
      <c r="D118" s="112" t="s">
        <v>59</v>
      </c>
      <c r="E118" s="112" t="s">
        <v>60</v>
      </c>
      <c r="F118" s="112" t="s">
        <v>69</v>
      </c>
      <c r="G118" s="112" t="s">
        <v>740</v>
      </c>
      <c r="H118" s="112" t="s">
        <v>106</v>
      </c>
      <c r="I118" s="184">
        <v>0</v>
      </c>
      <c r="J118" s="184">
        <v>0</v>
      </c>
    </row>
    <row r="119" spans="1:10" ht="15.75">
      <c r="A119" s="168" t="s">
        <v>245</v>
      </c>
      <c r="B119" s="22" t="s">
        <v>149</v>
      </c>
      <c r="C119" s="22" t="s">
        <v>246</v>
      </c>
      <c r="D119" s="22"/>
      <c r="E119" s="22"/>
      <c r="F119" s="22"/>
      <c r="G119" s="22"/>
      <c r="H119" s="22"/>
      <c r="I119" s="124">
        <f>I120+I123+I125+I127</f>
        <v>4031800.3200000003</v>
      </c>
      <c r="J119" s="124">
        <f>J120+J123+J125+J127</f>
        <v>4069800.3200000003</v>
      </c>
    </row>
    <row r="120" spans="1:10" ht="15.75">
      <c r="A120" s="168" t="s">
        <v>247</v>
      </c>
      <c r="B120" s="22" t="s">
        <v>149</v>
      </c>
      <c r="C120" s="22" t="s">
        <v>155</v>
      </c>
      <c r="D120" s="22"/>
      <c r="E120" s="22"/>
      <c r="F120" s="22"/>
      <c r="G120" s="22"/>
      <c r="H120" s="22"/>
      <c r="I120" s="124">
        <f>SUM(I121:I122)</f>
        <v>1271601.12</v>
      </c>
      <c r="J120" s="124">
        <f>SUM(J121:J122)</f>
        <v>1271601.12</v>
      </c>
    </row>
    <row r="121" spans="1:10" ht="82.5" customHeight="1">
      <c r="A121" s="156" t="s">
        <v>597</v>
      </c>
      <c r="B121" s="112" t="s">
        <v>149</v>
      </c>
      <c r="C121" s="112" t="s">
        <v>155</v>
      </c>
      <c r="D121" s="112" t="s">
        <v>115</v>
      </c>
      <c r="E121" s="112" t="s">
        <v>68</v>
      </c>
      <c r="F121" s="112" t="s">
        <v>115</v>
      </c>
      <c r="G121" s="112" t="s">
        <v>507</v>
      </c>
      <c r="H121" s="112" t="s">
        <v>160</v>
      </c>
      <c r="I121" s="114">
        <v>16265.04</v>
      </c>
      <c r="J121" s="114">
        <v>16265.04</v>
      </c>
    </row>
    <row r="122" spans="1:10" ht="66.75" customHeight="1">
      <c r="A122" s="156" t="s">
        <v>460</v>
      </c>
      <c r="B122" s="112" t="s">
        <v>149</v>
      </c>
      <c r="C122" s="112" t="s">
        <v>155</v>
      </c>
      <c r="D122" s="112" t="s">
        <v>115</v>
      </c>
      <c r="E122" s="112" t="s">
        <v>68</v>
      </c>
      <c r="F122" s="112" t="s">
        <v>115</v>
      </c>
      <c r="G122" s="112" t="s">
        <v>507</v>
      </c>
      <c r="H122" s="112" t="s">
        <v>107</v>
      </c>
      <c r="I122" s="169">
        <v>1255336.08</v>
      </c>
      <c r="J122" s="169">
        <v>1255336.08</v>
      </c>
    </row>
    <row r="123" spans="1:10" ht="15.75">
      <c r="A123" s="168" t="s">
        <v>194</v>
      </c>
      <c r="B123" s="22" t="s">
        <v>149</v>
      </c>
      <c r="C123" s="22" t="s">
        <v>195</v>
      </c>
      <c r="D123" s="22"/>
      <c r="E123" s="22"/>
      <c r="F123" s="22"/>
      <c r="G123" s="22"/>
      <c r="H123" s="22"/>
      <c r="I123" s="124">
        <f>I124</f>
        <v>0</v>
      </c>
      <c r="J123" s="124">
        <f>J124</f>
        <v>0</v>
      </c>
    </row>
    <row r="124" spans="1:10" ht="47.25">
      <c r="A124" s="189" t="s">
        <v>955</v>
      </c>
      <c r="B124" s="112" t="s">
        <v>149</v>
      </c>
      <c r="C124" s="112" t="s">
        <v>195</v>
      </c>
      <c r="D124" s="112" t="s">
        <v>61</v>
      </c>
      <c r="E124" s="112" t="s">
        <v>224</v>
      </c>
      <c r="F124" s="112" t="s">
        <v>69</v>
      </c>
      <c r="G124" s="112" t="s">
        <v>959</v>
      </c>
      <c r="H124" s="112" t="s">
        <v>107</v>
      </c>
      <c r="I124" s="114">
        <v>0</v>
      </c>
      <c r="J124" s="114">
        <v>0</v>
      </c>
    </row>
    <row r="125" spans="1:10" ht="15.75">
      <c r="A125" s="168" t="s">
        <v>196</v>
      </c>
      <c r="B125" s="117" t="s">
        <v>149</v>
      </c>
      <c r="C125" s="117" t="s">
        <v>197</v>
      </c>
      <c r="D125" s="101"/>
      <c r="E125" s="101"/>
      <c r="F125" s="101"/>
      <c r="G125" s="101"/>
      <c r="H125" s="101"/>
      <c r="I125" s="124">
        <f>I126</f>
        <v>2760199.2</v>
      </c>
      <c r="J125" s="124">
        <f>J126</f>
        <v>2760199.2</v>
      </c>
    </row>
    <row r="126" spans="1:10" ht="78.75">
      <c r="A126" s="156" t="s">
        <v>1005</v>
      </c>
      <c r="B126" s="112" t="s">
        <v>149</v>
      </c>
      <c r="C126" s="112" t="s">
        <v>197</v>
      </c>
      <c r="D126" s="112" t="s">
        <v>61</v>
      </c>
      <c r="E126" s="112" t="s">
        <v>1006</v>
      </c>
      <c r="F126" s="112" t="s">
        <v>69</v>
      </c>
      <c r="G126" s="112" t="s">
        <v>1166</v>
      </c>
      <c r="H126" s="112" t="s">
        <v>939</v>
      </c>
      <c r="I126" s="114">
        <v>2760199.2</v>
      </c>
      <c r="J126" s="114">
        <v>2760199.2</v>
      </c>
    </row>
    <row r="127" spans="1:10" ht="15.75">
      <c r="A127" s="120" t="s">
        <v>320</v>
      </c>
      <c r="B127" s="117" t="s">
        <v>149</v>
      </c>
      <c r="C127" s="117" t="s">
        <v>319</v>
      </c>
      <c r="D127" s="117"/>
      <c r="E127" s="117"/>
      <c r="F127" s="117"/>
      <c r="G127" s="117"/>
      <c r="H127" s="117"/>
      <c r="I127" s="124">
        <f>SUM(I128:I133)</f>
        <v>0</v>
      </c>
      <c r="J127" s="124">
        <f>SUM(J128:J133)</f>
        <v>38000</v>
      </c>
    </row>
    <row r="128" spans="1:10" ht="66.75" customHeight="1">
      <c r="A128" s="156" t="s">
        <v>1503</v>
      </c>
      <c r="B128" s="112" t="s">
        <v>149</v>
      </c>
      <c r="C128" s="112" t="s">
        <v>319</v>
      </c>
      <c r="D128" s="112" t="s">
        <v>1249</v>
      </c>
      <c r="E128" s="112" t="s">
        <v>68</v>
      </c>
      <c r="F128" s="112" t="s">
        <v>69</v>
      </c>
      <c r="G128" s="112" t="s">
        <v>1504</v>
      </c>
      <c r="H128" s="112" t="s">
        <v>160</v>
      </c>
      <c r="I128" s="114">
        <v>0</v>
      </c>
      <c r="J128" s="114">
        <v>6000</v>
      </c>
    </row>
    <row r="129" spans="1:10" ht="83.25" customHeight="1" hidden="1">
      <c r="A129" s="122" t="s">
        <v>1460</v>
      </c>
      <c r="B129" s="112" t="s">
        <v>149</v>
      </c>
      <c r="C129" s="21" t="s">
        <v>319</v>
      </c>
      <c r="D129" s="21" t="s">
        <v>1249</v>
      </c>
      <c r="E129" s="21" t="s">
        <v>68</v>
      </c>
      <c r="F129" s="21" t="s">
        <v>115</v>
      </c>
      <c r="G129" s="112" t="s">
        <v>1461</v>
      </c>
      <c r="H129" s="21" t="s">
        <v>160</v>
      </c>
      <c r="I129" s="171">
        <v>0</v>
      </c>
      <c r="J129" s="171">
        <v>0</v>
      </c>
    </row>
    <row r="130" spans="1:10" ht="83.25" customHeight="1">
      <c r="A130" s="122" t="s">
        <v>1462</v>
      </c>
      <c r="B130" s="112" t="s">
        <v>149</v>
      </c>
      <c r="C130" s="21" t="s">
        <v>319</v>
      </c>
      <c r="D130" s="21" t="s">
        <v>1249</v>
      </c>
      <c r="E130" s="21" t="s">
        <v>68</v>
      </c>
      <c r="F130" s="21" t="s">
        <v>233</v>
      </c>
      <c r="G130" s="112" t="s">
        <v>1463</v>
      </c>
      <c r="H130" s="21" t="s">
        <v>160</v>
      </c>
      <c r="I130" s="171">
        <v>0</v>
      </c>
      <c r="J130" s="171">
        <v>0</v>
      </c>
    </row>
    <row r="131" spans="1:10" ht="83.25" customHeight="1">
      <c r="A131" s="157" t="s">
        <v>1256</v>
      </c>
      <c r="B131" s="112" t="s">
        <v>127</v>
      </c>
      <c r="C131" s="112" t="s">
        <v>319</v>
      </c>
      <c r="D131" s="112" t="s">
        <v>1249</v>
      </c>
      <c r="E131" s="112" t="s">
        <v>68</v>
      </c>
      <c r="F131" s="112" t="s">
        <v>115</v>
      </c>
      <c r="G131" s="112" t="s">
        <v>1505</v>
      </c>
      <c r="H131" s="20" t="s">
        <v>160</v>
      </c>
      <c r="I131" s="171">
        <v>0</v>
      </c>
      <c r="J131" s="171">
        <v>30000</v>
      </c>
    </row>
    <row r="132" spans="1:10" ht="69" customHeight="1">
      <c r="A132" s="122" t="s">
        <v>1467</v>
      </c>
      <c r="B132" s="112" t="s">
        <v>149</v>
      </c>
      <c r="C132" s="21" t="s">
        <v>319</v>
      </c>
      <c r="D132" s="21" t="s">
        <v>1249</v>
      </c>
      <c r="E132" s="21" t="s">
        <v>68</v>
      </c>
      <c r="F132" s="21" t="s">
        <v>115</v>
      </c>
      <c r="G132" s="112" t="s">
        <v>1281</v>
      </c>
      <c r="H132" s="21" t="s">
        <v>160</v>
      </c>
      <c r="I132" s="171">
        <v>0</v>
      </c>
      <c r="J132" s="171">
        <v>2000</v>
      </c>
    </row>
    <row r="133" spans="1:10" ht="78.75" hidden="1">
      <c r="A133" s="122" t="s">
        <v>1464</v>
      </c>
      <c r="B133" s="21" t="s">
        <v>149</v>
      </c>
      <c r="C133" s="21" t="s">
        <v>319</v>
      </c>
      <c r="D133" s="21" t="s">
        <v>1249</v>
      </c>
      <c r="E133" s="21" t="s">
        <v>68</v>
      </c>
      <c r="F133" s="21" t="s">
        <v>57</v>
      </c>
      <c r="G133" s="112" t="s">
        <v>1465</v>
      </c>
      <c r="H133" s="21" t="s">
        <v>160</v>
      </c>
      <c r="I133" s="169">
        <v>0</v>
      </c>
      <c r="J133" s="169">
        <v>0</v>
      </c>
    </row>
    <row r="134" spans="1:10" ht="15.75">
      <c r="A134" s="168" t="s">
        <v>198</v>
      </c>
      <c r="B134" s="22" t="s">
        <v>149</v>
      </c>
      <c r="C134" s="22" t="s">
        <v>199</v>
      </c>
      <c r="D134" s="22"/>
      <c r="E134" s="22"/>
      <c r="F134" s="22"/>
      <c r="G134" s="22"/>
      <c r="H134" s="22"/>
      <c r="I134" s="124">
        <f>I135+I137</f>
        <v>450000</v>
      </c>
      <c r="J134" s="124">
        <f>J135+J137</f>
        <v>450000</v>
      </c>
    </row>
    <row r="135" spans="1:10" ht="18" customHeight="1">
      <c r="A135" s="168" t="s">
        <v>979</v>
      </c>
      <c r="B135" s="22" t="s">
        <v>149</v>
      </c>
      <c r="C135" s="22" t="s">
        <v>978</v>
      </c>
      <c r="D135" s="22"/>
      <c r="E135" s="22"/>
      <c r="F135" s="22"/>
      <c r="G135" s="22"/>
      <c r="H135" s="22"/>
      <c r="I135" s="124">
        <f>SUM(I136:I136)</f>
        <v>0</v>
      </c>
      <c r="J135" s="124">
        <f>SUM(J136:J136)</f>
        <v>0</v>
      </c>
    </row>
    <row r="136" spans="1:10" ht="78.75">
      <c r="A136" s="189" t="s">
        <v>981</v>
      </c>
      <c r="B136" s="112" t="s">
        <v>149</v>
      </c>
      <c r="C136" s="112" t="s">
        <v>978</v>
      </c>
      <c r="D136" s="112" t="s">
        <v>58</v>
      </c>
      <c r="E136" s="112" t="s">
        <v>68</v>
      </c>
      <c r="F136" s="112" t="s">
        <v>69</v>
      </c>
      <c r="G136" s="112" t="s">
        <v>980</v>
      </c>
      <c r="H136" s="112" t="s">
        <v>939</v>
      </c>
      <c r="I136" s="114">
        <v>0</v>
      </c>
      <c r="J136" s="114">
        <v>0</v>
      </c>
    </row>
    <row r="137" spans="1:10" ht="15.75">
      <c r="A137" s="168" t="s">
        <v>222</v>
      </c>
      <c r="B137" s="22" t="s">
        <v>149</v>
      </c>
      <c r="C137" s="22" t="s">
        <v>200</v>
      </c>
      <c r="D137" s="22"/>
      <c r="E137" s="22"/>
      <c r="F137" s="22"/>
      <c r="G137" s="22"/>
      <c r="H137" s="22"/>
      <c r="I137" s="124">
        <f>SUM(I138:I140)</f>
        <v>450000</v>
      </c>
      <c r="J137" s="124">
        <f>SUM(J138:J140)</f>
        <v>450000</v>
      </c>
    </row>
    <row r="138" spans="1:10" ht="84" customHeight="1">
      <c r="A138" s="60" t="s">
        <v>656</v>
      </c>
      <c r="B138" s="21" t="s">
        <v>149</v>
      </c>
      <c r="C138" s="21" t="s">
        <v>200</v>
      </c>
      <c r="D138" s="21" t="s">
        <v>284</v>
      </c>
      <c r="E138" s="21" t="s">
        <v>68</v>
      </c>
      <c r="F138" s="21" t="s">
        <v>69</v>
      </c>
      <c r="G138" s="21" t="s">
        <v>508</v>
      </c>
      <c r="H138" s="21" t="s">
        <v>160</v>
      </c>
      <c r="I138" s="114">
        <v>250000</v>
      </c>
      <c r="J138" s="114">
        <v>250000</v>
      </c>
    </row>
    <row r="139" spans="1:10" ht="66.75" customHeight="1">
      <c r="A139" s="60" t="s">
        <v>884</v>
      </c>
      <c r="B139" s="21" t="s">
        <v>149</v>
      </c>
      <c r="C139" s="21" t="s">
        <v>200</v>
      </c>
      <c r="D139" s="21" t="s">
        <v>284</v>
      </c>
      <c r="E139" s="21" t="s">
        <v>60</v>
      </c>
      <c r="F139" s="21" t="s">
        <v>69</v>
      </c>
      <c r="G139" s="21" t="s">
        <v>509</v>
      </c>
      <c r="H139" s="21" t="s">
        <v>160</v>
      </c>
      <c r="I139" s="114">
        <v>125000</v>
      </c>
      <c r="J139" s="114">
        <v>125000</v>
      </c>
    </row>
    <row r="140" spans="1:10" ht="63">
      <c r="A140" s="60" t="s">
        <v>885</v>
      </c>
      <c r="B140" s="21" t="s">
        <v>149</v>
      </c>
      <c r="C140" s="21" t="s">
        <v>200</v>
      </c>
      <c r="D140" s="21" t="s">
        <v>284</v>
      </c>
      <c r="E140" s="21" t="s">
        <v>60</v>
      </c>
      <c r="F140" s="21" t="s">
        <v>69</v>
      </c>
      <c r="G140" s="21" t="s">
        <v>492</v>
      </c>
      <c r="H140" s="21" t="s">
        <v>160</v>
      </c>
      <c r="I140" s="114">
        <v>75000</v>
      </c>
      <c r="J140" s="114">
        <v>75000</v>
      </c>
    </row>
    <row r="141" spans="1:10" ht="15.75">
      <c r="A141" s="166" t="s">
        <v>122</v>
      </c>
      <c r="B141" s="167" t="s">
        <v>123</v>
      </c>
      <c r="C141" s="167"/>
      <c r="D141" s="167"/>
      <c r="E141" s="167"/>
      <c r="F141" s="167"/>
      <c r="G141" s="167"/>
      <c r="H141" s="167"/>
      <c r="I141" s="148">
        <f>I142</f>
        <v>1296740.2</v>
      </c>
      <c r="J141" s="148">
        <f>J142</f>
        <v>1296478.2</v>
      </c>
    </row>
    <row r="142" spans="1:10" ht="15.75">
      <c r="A142" s="168" t="s">
        <v>275</v>
      </c>
      <c r="B142" s="22" t="s">
        <v>123</v>
      </c>
      <c r="C142" s="22" t="s">
        <v>276</v>
      </c>
      <c r="D142" s="22"/>
      <c r="E142" s="22"/>
      <c r="F142" s="22"/>
      <c r="G142" s="22"/>
      <c r="H142" s="22"/>
      <c r="I142" s="124">
        <f>I143</f>
        <v>1296740.2</v>
      </c>
      <c r="J142" s="124">
        <f>J143</f>
        <v>1296478.2</v>
      </c>
    </row>
    <row r="143" spans="1:10" ht="60.75" customHeight="1">
      <c r="A143" s="168" t="s">
        <v>244</v>
      </c>
      <c r="B143" s="22" t="s">
        <v>123</v>
      </c>
      <c r="C143" s="22" t="s">
        <v>125</v>
      </c>
      <c r="D143" s="22"/>
      <c r="E143" s="22"/>
      <c r="F143" s="22"/>
      <c r="G143" s="22"/>
      <c r="H143" s="22"/>
      <c r="I143" s="124">
        <f>SUM(I144:I147)</f>
        <v>1296740.2</v>
      </c>
      <c r="J143" s="124">
        <f>SUM(J144:J147)</f>
        <v>1296478.2</v>
      </c>
    </row>
    <row r="144" spans="1:10" ht="94.5">
      <c r="A144" s="105" t="s">
        <v>940</v>
      </c>
      <c r="B144" s="21" t="s">
        <v>123</v>
      </c>
      <c r="C144" s="21" t="s">
        <v>125</v>
      </c>
      <c r="D144" s="21" t="s">
        <v>115</v>
      </c>
      <c r="E144" s="21" t="s">
        <v>60</v>
      </c>
      <c r="F144" s="21" t="s">
        <v>115</v>
      </c>
      <c r="G144" s="21" t="s">
        <v>547</v>
      </c>
      <c r="H144" s="21" t="s">
        <v>159</v>
      </c>
      <c r="I144" s="114">
        <v>509915.28</v>
      </c>
      <c r="J144" s="114">
        <v>509915.28</v>
      </c>
    </row>
    <row r="145" spans="1:10" ht="81.75" customHeight="1">
      <c r="A145" s="60" t="s">
        <v>510</v>
      </c>
      <c r="B145" s="21" t="s">
        <v>123</v>
      </c>
      <c r="C145" s="21" t="s">
        <v>125</v>
      </c>
      <c r="D145" s="21" t="s">
        <v>115</v>
      </c>
      <c r="E145" s="21" t="s">
        <v>60</v>
      </c>
      <c r="F145" s="21" t="s">
        <v>115</v>
      </c>
      <c r="G145" s="21" t="s">
        <v>511</v>
      </c>
      <c r="H145" s="21" t="s">
        <v>159</v>
      </c>
      <c r="I145" s="114">
        <v>247953.91999999998</v>
      </c>
      <c r="J145" s="114">
        <v>247953.91999999998</v>
      </c>
    </row>
    <row r="146" spans="1:10" ht="63">
      <c r="A146" s="60" t="s">
        <v>580</v>
      </c>
      <c r="B146" s="21" t="s">
        <v>123</v>
      </c>
      <c r="C146" s="21" t="s">
        <v>125</v>
      </c>
      <c r="D146" s="21" t="s">
        <v>115</v>
      </c>
      <c r="E146" s="21" t="s">
        <v>60</v>
      </c>
      <c r="F146" s="21" t="s">
        <v>115</v>
      </c>
      <c r="G146" s="21" t="s">
        <v>511</v>
      </c>
      <c r="H146" s="21" t="s">
        <v>160</v>
      </c>
      <c r="I146" s="114">
        <v>520479</v>
      </c>
      <c r="J146" s="114">
        <v>520479</v>
      </c>
    </row>
    <row r="147" spans="1:10" ht="47.25">
      <c r="A147" s="60" t="s">
        <v>923</v>
      </c>
      <c r="B147" s="21" t="s">
        <v>123</v>
      </c>
      <c r="C147" s="21" t="s">
        <v>125</v>
      </c>
      <c r="D147" s="21" t="s">
        <v>115</v>
      </c>
      <c r="E147" s="21" t="s">
        <v>60</v>
      </c>
      <c r="F147" s="21" t="s">
        <v>115</v>
      </c>
      <c r="G147" s="21" t="s">
        <v>511</v>
      </c>
      <c r="H147" s="21" t="s">
        <v>107</v>
      </c>
      <c r="I147" s="114">
        <v>18392</v>
      </c>
      <c r="J147" s="114">
        <v>18130</v>
      </c>
    </row>
    <row r="148" spans="1:10" ht="21.75" customHeight="1">
      <c r="A148" s="168" t="s">
        <v>245</v>
      </c>
      <c r="B148" s="22" t="s">
        <v>123</v>
      </c>
      <c r="C148" s="22" t="s">
        <v>246</v>
      </c>
      <c r="D148" s="117"/>
      <c r="E148" s="117"/>
      <c r="F148" s="117"/>
      <c r="G148" s="117"/>
      <c r="H148" s="117"/>
      <c r="I148" s="124">
        <f>I149</f>
        <v>0</v>
      </c>
      <c r="J148" s="124">
        <f>J149</f>
        <v>0</v>
      </c>
    </row>
    <row r="149" spans="1:10" ht="15.75">
      <c r="A149" s="168" t="s">
        <v>306</v>
      </c>
      <c r="B149" s="22" t="s">
        <v>123</v>
      </c>
      <c r="C149" s="22" t="s">
        <v>319</v>
      </c>
      <c r="D149" s="22"/>
      <c r="E149" s="22"/>
      <c r="F149" s="22"/>
      <c r="G149" s="22"/>
      <c r="H149" s="22"/>
      <c r="I149" s="124">
        <f>I150+I151</f>
        <v>0</v>
      </c>
      <c r="J149" s="124">
        <f>J150+J151</f>
        <v>0</v>
      </c>
    </row>
    <row r="150" spans="1:10" ht="78.75">
      <c r="A150" s="122" t="s">
        <v>859</v>
      </c>
      <c r="B150" s="21" t="s">
        <v>123</v>
      </c>
      <c r="C150" s="21" t="s">
        <v>319</v>
      </c>
      <c r="D150" s="21" t="s">
        <v>1249</v>
      </c>
      <c r="E150" s="21" t="s">
        <v>68</v>
      </c>
      <c r="F150" s="21" t="s">
        <v>69</v>
      </c>
      <c r="G150" s="21" t="s">
        <v>528</v>
      </c>
      <c r="H150" s="21" t="s">
        <v>160</v>
      </c>
      <c r="I150" s="171">
        <v>0</v>
      </c>
      <c r="J150" s="171">
        <v>0</v>
      </c>
    </row>
    <row r="151" spans="1:10" ht="63" hidden="1">
      <c r="A151" s="122" t="s">
        <v>904</v>
      </c>
      <c r="B151" s="21" t="s">
        <v>123</v>
      </c>
      <c r="C151" s="21" t="s">
        <v>319</v>
      </c>
      <c r="D151" s="21" t="s">
        <v>1249</v>
      </c>
      <c r="E151" s="21" t="s">
        <v>68</v>
      </c>
      <c r="F151" s="21" t="s">
        <v>115</v>
      </c>
      <c r="G151" s="21" t="s">
        <v>924</v>
      </c>
      <c r="H151" s="21" t="s">
        <v>160</v>
      </c>
      <c r="I151" s="171">
        <v>0</v>
      </c>
      <c r="J151" s="171">
        <v>0</v>
      </c>
    </row>
    <row r="152" spans="1:14" ht="31.5">
      <c r="A152" s="166" t="s">
        <v>87</v>
      </c>
      <c r="B152" s="167" t="s">
        <v>127</v>
      </c>
      <c r="C152" s="167"/>
      <c r="D152" s="167"/>
      <c r="E152" s="167"/>
      <c r="F152" s="167"/>
      <c r="G152" s="167"/>
      <c r="H152" s="167"/>
      <c r="I152" s="148">
        <f>I153++I225</f>
        <v>157192565.54000002</v>
      </c>
      <c r="J152" s="148">
        <f>J153++J225</f>
        <v>159252368.57</v>
      </c>
      <c r="M152" s="234">
        <f>I152-K152</f>
        <v>157192565.54000002</v>
      </c>
      <c r="N152" s="234">
        <f>J152-L152</f>
        <v>159252368.57</v>
      </c>
    </row>
    <row r="153" spans="1:10" ht="15.75">
      <c r="A153" s="168" t="s">
        <v>133</v>
      </c>
      <c r="B153" s="22" t="s">
        <v>127</v>
      </c>
      <c r="C153" s="22" t="s">
        <v>134</v>
      </c>
      <c r="D153" s="22"/>
      <c r="E153" s="22"/>
      <c r="F153" s="22"/>
      <c r="G153" s="22"/>
      <c r="H153" s="22"/>
      <c r="I153" s="124">
        <f>I154+I167+I200+I210+I218</f>
        <v>154927552.74</v>
      </c>
      <c r="J153" s="124">
        <f>J154+J167+J200+J210+J218</f>
        <v>156999855.76999998</v>
      </c>
    </row>
    <row r="154" spans="1:10" ht="15.75">
      <c r="A154" s="168" t="s">
        <v>128</v>
      </c>
      <c r="B154" s="22" t="s">
        <v>127</v>
      </c>
      <c r="C154" s="22" t="s">
        <v>228</v>
      </c>
      <c r="D154" s="22"/>
      <c r="E154" s="22"/>
      <c r="F154" s="22"/>
      <c r="G154" s="22"/>
      <c r="H154" s="22"/>
      <c r="I154" s="124">
        <f>SUM(I155:I166)</f>
        <v>79096839.64</v>
      </c>
      <c r="J154" s="124">
        <f>SUM(J155:J166)</f>
        <v>79096839.64</v>
      </c>
    </row>
    <row r="155" spans="1:10" ht="87.75" customHeight="1">
      <c r="A155" s="180" t="s">
        <v>422</v>
      </c>
      <c r="B155" s="112" t="s">
        <v>127</v>
      </c>
      <c r="C155" s="112" t="s">
        <v>228</v>
      </c>
      <c r="D155" s="112" t="s">
        <v>223</v>
      </c>
      <c r="E155" s="112" t="s">
        <v>68</v>
      </c>
      <c r="F155" s="112" t="s">
        <v>69</v>
      </c>
      <c r="G155" s="112" t="s">
        <v>512</v>
      </c>
      <c r="H155" s="112" t="s">
        <v>106</v>
      </c>
      <c r="I155" s="79">
        <v>3716164.59</v>
      </c>
      <c r="J155" s="79">
        <v>3716164.59</v>
      </c>
    </row>
    <row r="156" spans="1:10" ht="129" customHeight="1">
      <c r="A156" s="156" t="s">
        <v>680</v>
      </c>
      <c r="B156" s="112" t="s">
        <v>127</v>
      </c>
      <c r="C156" s="112" t="s">
        <v>228</v>
      </c>
      <c r="D156" s="112" t="s">
        <v>223</v>
      </c>
      <c r="E156" s="112" t="s">
        <v>68</v>
      </c>
      <c r="F156" s="112" t="s">
        <v>69</v>
      </c>
      <c r="G156" s="112" t="s">
        <v>696</v>
      </c>
      <c r="H156" s="112" t="s">
        <v>106</v>
      </c>
      <c r="I156" s="79">
        <v>11006249.37</v>
      </c>
      <c r="J156" s="79">
        <v>11006249.37</v>
      </c>
    </row>
    <row r="157" spans="1:10" ht="78.75" customHeight="1">
      <c r="A157" s="156" t="s">
        <v>1093</v>
      </c>
      <c r="B157" s="112" t="s">
        <v>127</v>
      </c>
      <c r="C157" s="112" t="s">
        <v>228</v>
      </c>
      <c r="D157" s="112" t="s">
        <v>223</v>
      </c>
      <c r="E157" s="112" t="s">
        <v>68</v>
      </c>
      <c r="F157" s="112" t="s">
        <v>69</v>
      </c>
      <c r="G157" s="112" t="s">
        <v>1083</v>
      </c>
      <c r="H157" s="112" t="s">
        <v>106</v>
      </c>
      <c r="I157" s="79">
        <v>50000</v>
      </c>
      <c r="J157" s="79">
        <v>50000</v>
      </c>
    </row>
    <row r="158" spans="1:10" ht="94.5">
      <c r="A158" s="156" t="s">
        <v>681</v>
      </c>
      <c r="B158" s="112" t="s">
        <v>127</v>
      </c>
      <c r="C158" s="112" t="s">
        <v>228</v>
      </c>
      <c r="D158" s="112" t="s">
        <v>223</v>
      </c>
      <c r="E158" s="112" t="s">
        <v>68</v>
      </c>
      <c r="F158" s="112" t="s">
        <v>69</v>
      </c>
      <c r="G158" s="112" t="s">
        <v>697</v>
      </c>
      <c r="H158" s="112" t="s">
        <v>106</v>
      </c>
      <c r="I158" s="79">
        <v>6897919.62</v>
      </c>
      <c r="J158" s="79">
        <v>6897919.62</v>
      </c>
    </row>
    <row r="159" spans="1:10" ht="98.25" customHeight="1">
      <c r="A159" s="156" t="s">
        <v>683</v>
      </c>
      <c r="B159" s="112" t="s">
        <v>127</v>
      </c>
      <c r="C159" s="112" t="s">
        <v>228</v>
      </c>
      <c r="D159" s="112" t="s">
        <v>223</v>
      </c>
      <c r="E159" s="112" t="s">
        <v>68</v>
      </c>
      <c r="F159" s="112" t="s">
        <v>69</v>
      </c>
      <c r="G159" s="112" t="s">
        <v>698</v>
      </c>
      <c r="H159" s="112" t="s">
        <v>106</v>
      </c>
      <c r="I159" s="79">
        <v>0</v>
      </c>
      <c r="J159" s="79">
        <v>0</v>
      </c>
    </row>
    <row r="160" spans="1:10" ht="98.25" customHeight="1">
      <c r="A160" s="156" t="s">
        <v>682</v>
      </c>
      <c r="B160" s="112" t="s">
        <v>127</v>
      </c>
      <c r="C160" s="112" t="s">
        <v>228</v>
      </c>
      <c r="D160" s="112" t="s">
        <v>223</v>
      </c>
      <c r="E160" s="112" t="s">
        <v>68</v>
      </c>
      <c r="F160" s="112" t="s">
        <v>69</v>
      </c>
      <c r="G160" s="112" t="s">
        <v>699</v>
      </c>
      <c r="H160" s="112" t="s">
        <v>106</v>
      </c>
      <c r="I160" s="79">
        <v>6354215.34</v>
      </c>
      <c r="J160" s="79">
        <v>6354215.34</v>
      </c>
    </row>
    <row r="161" spans="1:10" ht="75.75" customHeight="1">
      <c r="A161" s="180" t="s">
        <v>424</v>
      </c>
      <c r="B161" s="112" t="s">
        <v>127</v>
      </c>
      <c r="C161" s="112" t="s">
        <v>228</v>
      </c>
      <c r="D161" s="112" t="s">
        <v>223</v>
      </c>
      <c r="E161" s="112" t="s">
        <v>68</v>
      </c>
      <c r="F161" s="112" t="s">
        <v>69</v>
      </c>
      <c r="G161" s="112" t="s">
        <v>513</v>
      </c>
      <c r="H161" s="112" t="s">
        <v>106</v>
      </c>
      <c r="I161" s="171">
        <v>5906304.72</v>
      </c>
      <c r="J161" s="171">
        <v>5906304.72</v>
      </c>
    </row>
    <row r="162" spans="1:10" ht="81" customHeight="1">
      <c r="A162" s="156" t="s">
        <v>1094</v>
      </c>
      <c r="B162" s="112" t="s">
        <v>127</v>
      </c>
      <c r="C162" s="112" t="s">
        <v>228</v>
      </c>
      <c r="D162" s="112" t="s">
        <v>223</v>
      </c>
      <c r="E162" s="112" t="s">
        <v>68</v>
      </c>
      <c r="F162" s="112" t="s">
        <v>69</v>
      </c>
      <c r="G162" s="112" t="s">
        <v>1084</v>
      </c>
      <c r="H162" s="112" t="s">
        <v>106</v>
      </c>
      <c r="I162" s="114">
        <v>0</v>
      </c>
      <c r="J162" s="114">
        <v>0</v>
      </c>
    </row>
    <row r="163" spans="1:10" ht="96" customHeight="1">
      <c r="A163" s="156" t="s">
        <v>1135</v>
      </c>
      <c r="B163" s="112" t="s">
        <v>127</v>
      </c>
      <c r="C163" s="112" t="s">
        <v>228</v>
      </c>
      <c r="D163" s="112" t="s">
        <v>223</v>
      </c>
      <c r="E163" s="112" t="s">
        <v>68</v>
      </c>
      <c r="F163" s="112" t="s">
        <v>69</v>
      </c>
      <c r="G163" s="112" t="s">
        <v>1115</v>
      </c>
      <c r="H163" s="112" t="s">
        <v>106</v>
      </c>
      <c r="I163" s="114">
        <v>0</v>
      </c>
      <c r="J163" s="114">
        <v>0</v>
      </c>
    </row>
    <row r="164" spans="1:10" ht="63.75" customHeight="1">
      <c r="A164" s="156" t="s">
        <v>1136</v>
      </c>
      <c r="B164" s="112" t="s">
        <v>127</v>
      </c>
      <c r="C164" s="112" t="s">
        <v>228</v>
      </c>
      <c r="D164" s="112" t="s">
        <v>223</v>
      </c>
      <c r="E164" s="112" t="s">
        <v>68</v>
      </c>
      <c r="F164" s="112" t="s">
        <v>69</v>
      </c>
      <c r="G164" s="112" t="s">
        <v>1116</v>
      </c>
      <c r="H164" s="112" t="s">
        <v>106</v>
      </c>
      <c r="I164" s="114">
        <v>0</v>
      </c>
      <c r="J164" s="114">
        <v>0</v>
      </c>
    </row>
    <row r="165" spans="1:10" ht="156.75" customHeight="1">
      <c r="A165" s="432" t="s">
        <v>426</v>
      </c>
      <c r="B165" s="112" t="s">
        <v>127</v>
      </c>
      <c r="C165" s="112" t="s">
        <v>228</v>
      </c>
      <c r="D165" s="112" t="s">
        <v>223</v>
      </c>
      <c r="E165" s="112" t="s">
        <v>68</v>
      </c>
      <c r="F165" s="112" t="s">
        <v>69</v>
      </c>
      <c r="G165" s="112" t="s">
        <v>514</v>
      </c>
      <c r="H165" s="112" t="s">
        <v>106</v>
      </c>
      <c r="I165" s="114">
        <v>298092</v>
      </c>
      <c r="J165" s="114">
        <v>298092</v>
      </c>
    </row>
    <row r="166" spans="1:10" ht="144" customHeight="1">
      <c r="A166" s="157" t="s">
        <v>1259</v>
      </c>
      <c r="B166" s="112" t="s">
        <v>127</v>
      </c>
      <c r="C166" s="112" t="s">
        <v>228</v>
      </c>
      <c r="D166" s="112" t="s">
        <v>223</v>
      </c>
      <c r="E166" s="112" t="s">
        <v>68</v>
      </c>
      <c r="F166" s="112" t="s">
        <v>69</v>
      </c>
      <c r="G166" s="112" t="s">
        <v>515</v>
      </c>
      <c r="H166" s="112" t="s">
        <v>106</v>
      </c>
      <c r="I166" s="114">
        <v>44867894</v>
      </c>
      <c r="J166" s="114">
        <v>44867894</v>
      </c>
    </row>
    <row r="167" spans="1:10" ht="20.25" customHeight="1">
      <c r="A167" s="168" t="s">
        <v>229</v>
      </c>
      <c r="B167" s="22" t="s">
        <v>127</v>
      </c>
      <c r="C167" s="22" t="s">
        <v>230</v>
      </c>
      <c r="D167" s="22"/>
      <c r="E167" s="22"/>
      <c r="F167" s="22"/>
      <c r="G167" s="22"/>
      <c r="H167" s="22"/>
      <c r="I167" s="124">
        <f>I168+I182+I189+I190+I191+I192+I195+I199+I193+I194+I196+I197+I198</f>
        <v>60466697.58999998</v>
      </c>
      <c r="J167" s="124">
        <f>J168+J182+J189+J190+J191+J192+J195+J199+J193+J194+J196+J197+J198</f>
        <v>61852333.69</v>
      </c>
    </row>
    <row r="168" spans="1:10" ht="15.75">
      <c r="A168" s="173" t="s">
        <v>48</v>
      </c>
      <c r="B168" s="19" t="s">
        <v>127</v>
      </c>
      <c r="C168" s="19" t="s">
        <v>230</v>
      </c>
      <c r="D168" s="19"/>
      <c r="E168" s="19"/>
      <c r="F168" s="19"/>
      <c r="G168" s="19"/>
      <c r="H168" s="19"/>
      <c r="I168" s="124">
        <f>SUM(I169:I181)</f>
        <v>29418808.63999999</v>
      </c>
      <c r="J168" s="124">
        <f>SUM(J169:J181)</f>
        <v>30981424.959999997</v>
      </c>
    </row>
    <row r="169" spans="1:10" ht="78.75">
      <c r="A169" s="156" t="s">
        <v>432</v>
      </c>
      <c r="B169" s="112" t="s">
        <v>127</v>
      </c>
      <c r="C169" s="112" t="s">
        <v>230</v>
      </c>
      <c r="D169" s="112" t="s">
        <v>223</v>
      </c>
      <c r="E169" s="112" t="s">
        <v>60</v>
      </c>
      <c r="F169" s="112" t="s">
        <v>69</v>
      </c>
      <c r="G169" s="112" t="s">
        <v>516</v>
      </c>
      <c r="H169" s="112" t="s">
        <v>106</v>
      </c>
      <c r="I169" s="114">
        <f>5965142.43-160.1</f>
        <v>5964982.33</v>
      </c>
      <c r="J169" s="114">
        <f>5965142.43-158-158.44</f>
        <v>5964825.989999999</v>
      </c>
    </row>
    <row r="170" spans="1:10" ht="110.25">
      <c r="A170" s="157" t="s">
        <v>684</v>
      </c>
      <c r="B170" s="112" t="s">
        <v>127</v>
      </c>
      <c r="C170" s="112" t="s">
        <v>230</v>
      </c>
      <c r="D170" s="112" t="s">
        <v>223</v>
      </c>
      <c r="E170" s="112" t="s">
        <v>60</v>
      </c>
      <c r="F170" s="112" t="s">
        <v>69</v>
      </c>
      <c r="G170" s="112" t="s">
        <v>700</v>
      </c>
      <c r="H170" s="112" t="s">
        <v>106</v>
      </c>
      <c r="I170" s="114">
        <v>6193211.07</v>
      </c>
      <c r="J170" s="114">
        <v>6193211.77</v>
      </c>
    </row>
    <row r="171" spans="1:10" ht="96.75" customHeight="1">
      <c r="A171" s="157" t="s">
        <v>685</v>
      </c>
      <c r="B171" s="112" t="s">
        <v>127</v>
      </c>
      <c r="C171" s="112" t="s">
        <v>230</v>
      </c>
      <c r="D171" s="112" t="s">
        <v>223</v>
      </c>
      <c r="E171" s="112" t="s">
        <v>60</v>
      </c>
      <c r="F171" s="112" t="s">
        <v>69</v>
      </c>
      <c r="G171" s="112" t="s">
        <v>701</v>
      </c>
      <c r="H171" s="112" t="s">
        <v>106</v>
      </c>
      <c r="I171" s="114">
        <v>7532485.85</v>
      </c>
      <c r="J171" s="114">
        <v>7532485.85</v>
      </c>
    </row>
    <row r="172" spans="1:10" ht="78.75">
      <c r="A172" s="157" t="s">
        <v>1095</v>
      </c>
      <c r="B172" s="112" t="s">
        <v>127</v>
      </c>
      <c r="C172" s="112" t="s">
        <v>230</v>
      </c>
      <c r="D172" s="112" t="s">
        <v>223</v>
      </c>
      <c r="E172" s="112" t="s">
        <v>60</v>
      </c>
      <c r="F172" s="112" t="s">
        <v>69</v>
      </c>
      <c r="G172" s="112" t="s">
        <v>1085</v>
      </c>
      <c r="H172" s="112" t="s">
        <v>106</v>
      </c>
      <c r="I172" s="445">
        <v>515348.4499999881</v>
      </c>
      <c r="J172" s="445">
        <f>515348.45-6000</f>
        <v>509348.45</v>
      </c>
    </row>
    <row r="173" spans="1:10" ht="68.25" customHeight="1">
      <c r="A173" s="157" t="s">
        <v>1096</v>
      </c>
      <c r="B173" s="112" t="s">
        <v>127</v>
      </c>
      <c r="C173" s="112" t="s">
        <v>230</v>
      </c>
      <c r="D173" s="112" t="s">
        <v>223</v>
      </c>
      <c r="E173" s="112" t="s">
        <v>60</v>
      </c>
      <c r="F173" s="112" t="s">
        <v>69</v>
      </c>
      <c r="G173" s="112" t="s">
        <v>1086</v>
      </c>
      <c r="H173" s="112" t="s">
        <v>106</v>
      </c>
      <c r="I173" s="114">
        <v>0</v>
      </c>
      <c r="J173" s="114">
        <v>0</v>
      </c>
    </row>
    <row r="174" spans="1:10" ht="94.5">
      <c r="A174" s="157" t="s">
        <v>1097</v>
      </c>
      <c r="B174" s="112" t="s">
        <v>127</v>
      </c>
      <c r="C174" s="112" t="s">
        <v>230</v>
      </c>
      <c r="D174" s="112" t="s">
        <v>223</v>
      </c>
      <c r="E174" s="112" t="s">
        <v>60</v>
      </c>
      <c r="F174" s="112" t="s">
        <v>69</v>
      </c>
      <c r="G174" s="112" t="s">
        <v>1087</v>
      </c>
      <c r="H174" s="112" t="s">
        <v>106</v>
      </c>
      <c r="I174" s="114">
        <v>0</v>
      </c>
      <c r="J174" s="114">
        <v>0</v>
      </c>
    </row>
    <row r="175" spans="1:10" ht="63">
      <c r="A175" s="157" t="s">
        <v>1137</v>
      </c>
      <c r="B175" s="112" t="s">
        <v>127</v>
      </c>
      <c r="C175" s="112" t="s">
        <v>230</v>
      </c>
      <c r="D175" s="112" t="s">
        <v>223</v>
      </c>
      <c r="E175" s="112" t="s">
        <v>60</v>
      </c>
      <c r="F175" s="112" t="s">
        <v>69</v>
      </c>
      <c r="G175" s="112" t="s">
        <v>1119</v>
      </c>
      <c r="H175" s="112" t="s">
        <v>106</v>
      </c>
      <c r="I175" s="114">
        <v>0</v>
      </c>
      <c r="J175" s="114">
        <v>0</v>
      </c>
    </row>
    <row r="176" spans="1:10" ht="99.75" customHeight="1" hidden="1">
      <c r="A176" s="122" t="s">
        <v>686</v>
      </c>
      <c r="B176" s="21" t="s">
        <v>127</v>
      </c>
      <c r="C176" s="21" t="s">
        <v>230</v>
      </c>
      <c r="D176" s="21" t="s">
        <v>223</v>
      </c>
      <c r="E176" s="21" t="s">
        <v>60</v>
      </c>
      <c r="F176" s="21" t="s">
        <v>69</v>
      </c>
      <c r="G176" s="21" t="s">
        <v>702</v>
      </c>
      <c r="H176" s="21" t="s">
        <v>106</v>
      </c>
      <c r="I176" s="79">
        <v>0</v>
      </c>
      <c r="J176" s="79">
        <v>0</v>
      </c>
    </row>
    <row r="177" spans="1:10" ht="94.5">
      <c r="A177" s="157" t="s">
        <v>687</v>
      </c>
      <c r="B177" s="112" t="s">
        <v>127</v>
      </c>
      <c r="C177" s="112" t="s">
        <v>230</v>
      </c>
      <c r="D177" s="112" t="s">
        <v>223</v>
      </c>
      <c r="E177" s="112" t="s">
        <v>60</v>
      </c>
      <c r="F177" s="112" t="s">
        <v>69</v>
      </c>
      <c r="G177" s="112" t="s">
        <v>703</v>
      </c>
      <c r="H177" s="112" t="s">
        <v>106</v>
      </c>
      <c r="I177" s="114">
        <f>8866425.96-3645.02</f>
        <v>8862780.940000001</v>
      </c>
      <c r="J177" s="114">
        <f>8866425.96-3537.4</f>
        <v>8862888.56</v>
      </c>
    </row>
    <row r="178" spans="1:10" ht="78.75" hidden="1">
      <c r="A178" s="157" t="s">
        <v>560</v>
      </c>
      <c r="B178" s="112" t="s">
        <v>127</v>
      </c>
      <c r="C178" s="112" t="s">
        <v>230</v>
      </c>
      <c r="D178" s="112" t="s">
        <v>223</v>
      </c>
      <c r="E178" s="112" t="s">
        <v>60</v>
      </c>
      <c r="F178" s="112" t="s">
        <v>69</v>
      </c>
      <c r="G178" s="112" t="s">
        <v>563</v>
      </c>
      <c r="H178" s="112" t="s">
        <v>106</v>
      </c>
      <c r="I178" s="114">
        <v>0</v>
      </c>
      <c r="J178" s="114">
        <v>0</v>
      </c>
    </row>
    <row r="179" spans="1:10" ht="97.5" customHeight="1">
      <c r="A179" s="157" t="s">
        <v>1582</v>
      </c>
      <c r="B179" s="112" t="s">
        <v>127</v>
      </c>
      <c r="C179" s="112" t="s">
        <v>230</v>
      </c>
      <c r="D179" s="112" t="s">
        <v>223</v>
      </c>
      <c r="E179" s="112" t="s">
        <v>60</v>
      </c>
      <c r="F179" s="112" t="s">
        <v>1580</v>
      </c>
      <c r="G179" s="112" t="s">
        <v>1581</v>
      </c>
      <c r="H179" s="112" t="s">
        <v>106</v>
      </c>
      <c r="I179" s="434">
        <v>0</v>
      </c>
      <c r="J179" s="114">
        <v>1568664.34</v>
      </c>
    </row>
    <row r="180" spans="1:10" ht="94.5" customHeight="1">
      <c r="A180" s="157" t="s">
        <v>678</v>
      </c>
      <c r="B180" s="112" t="s">
        <v>127</v>
      </c>
      <c r="C180" s="112" t="s">
        <v>230</v>
      </c>
      <c r="D180" s="112">
        <v>11</v>
      </c>
      <c r="E180" s="112" t="s">
        <v>68</v>
      </c>
      <c r="F180" s="112" t="s">
        <v>69</v>
      </c>
      <c r="G180" s="112" t="s">
        <v>518</v>
      </c>
      <c r="H180" s="112" t="s">
        <v>106</v>
      </c>
      <c r="I180" s="114">
        <v>350000</v>
      </c>
      <c r="J180" s="114">
        <v>350000</v>
      </c>
    </row>
    <row r="181" spans="1:10" ht="99" customHeight="1" hidden="1">
      <c r="A181" s="192" t="s">
        <v>950</v>
      </c>
      <c r="B181" s="112" t="s">
        <v>127</v>
      </c>
      <c r="C181" s="112" t="s">
        <v>230</v>
      </c>
      <c r="D181" s="112" t="s">
        <v>223</v>
      </c>
      <c r="E181" s="112" t="s">
        <v>60</v>
      </c>
      <c r="F181" s="112" t="s">
        <v>69</v>
      </c>
      <c r="G181" s="112" t="s">
        <v>951</v>
      </c>
      <c r="H181" s="112" t="s">
        <v>106</v>
      </c>
      <c r="I181" s="114">
        <v>0</v>
      </c>
      <c r="J181" s="114">
        <v>0</v>
      </c>
    </row>
    <row r="182" spans="1:10" ht="15.75">
      <c r="A182" s="239" t="s">
        <v>286</v>
      </c>
      <c r="B182" s="19" t="s">
        <v>127</v>
      </c>
      <c r="C182" s="19" t="s">
        <v>230</v>
      </c>
      <c r="D182" s="19"/>
      <c r="E182" s="19"/>
      <c r="F182" s="19"/>
      <c r="G182" s="19"/>
      <c r="H182" s="19"/>
      <c r="I182" s="185">
        <f>SUM(I183:I188)</f>
        <v>17211287.689999998</v>
      </c>
      <c r="J182" s="185">
        <f>SUM(J183:J188)</f>
        <v>17211148.97</v>
      </c>
    </row>
    <row r="183" spans="1:10" ht="96" customHeight="1">
      <c r="A183" s="156" t="s">
        <v>519</v>
      </c>
      <c r="B183" s="112" t="s">
        <v>127</v>
      </c>
      <c r="C183" s="112" t="s">
        <v>230</v>
      </c>
      <c r="D183" s="112" t="s">
        <v>223</v>
      </c>
      <c r="E183" s="112" t="s">
        <v>60</v>
      </c>
      <c r="F183" s="112" t="s">
        <v>69</v>
      </c>
      <c r="G183" s="112" t="s">
        <v>520</v>
      </c>
      <c r="H183" s="112" t="s">
        <v>159</v>
      </c>
      <c r="I183" s="114">
        <v>5582697.84</v>
      </c>
      <c r="J183" s="114">
        <v>5582697.84</v>
      </c>
    </row>
    <row r="184" spans="1:15" ht="51.75" customHeight="1">
      <c r="A184" s="156" t="s">
        <v>592</v>
      </c>
      <c r="B184" s="112" t="s">
        <v>127</v>
      </c>
      <c r="C184" s="112" t="s">
        <v>230</v>
      </c>
      <c r="D184" s="112" t="s">
        <v>223</v>
      </c>
      <c r="E184" s="112" t="s">
        <v>60</v>
      </c>
      <c r="F184" s="112" t="s">
        <v>69</v>
      </c>
      <c r="G184" s="112" t="s">
        <v>520</v>
      </c>
      <c r="H184" s="112" t="s">
        <v>160</v>
      </c>
      <c r="I184" s="114">
        <f>9994881.27-580.78-160.1-158.46</f>
        <v>9993981.93</v>
      </c>
      <c r="J184" s="114">
        <f>9994881.27-563.62-316-158.44</f>
        <v>9993843.21</v>
      </c>
      <c r="M184" s="234">
        <f>K184-I184</f>
        <v>-9993981.93</v>
      </c>
      <c r="N184" s="234"/>
      <c r="O184" s="234"/>
    </row>
    <row r="185" spans="1:10" ht="33" customHeight="1">
      <c r="A185" s="156" t="s">
        <v>436</v>
      </c>
      <c r="B185" s="112" t="s">
        <v>127</v>
      </c>
      <c r="C185" s="112" t="s">
        <v>230</v>
      </c>
      <c r="D185" s="112" t="s">
        <v>223</v>
      </c>
      <c r="E185" s="112" t="s">
        <v>60</v>
      </c>
      <c r="F185" s="112" t="s">
        <v>69</v>
      </c>
      <c r="G185" s="112" t="s">
        <v>520</v>
      </c>
      <c r="H185" s="112" t="s">
        <v>161</v>
      </c>
      <c r="I185" s="114">
        <v>178607.92</v>
      </c>
      <c r="J185" s="114">
        <v>178607.92</v>
      </c>
    </row>
    <row r="186" spans="1:10" ht="63" hidden="1">
      <c r="A186" s="157" t="s">
        <v>593</v>
      </c>
      <c r="B186" s="112" t="s">
        <v>127</v>
      </c>
      <c r="C186" s="112" t="s">
        <v>230</v>
      </c>
      <c r="D186" s="112" t="s">
        <v>223</v>
      </c>
      <c r="E186" s="112" t="s">
        <v>60</v>
      </c>
      <c r="F186" s="112" t="s">
        <v>69</v>
      </c>
      <c r="G186" s="112" t="s">
        <v>564</v>
      </c>
      <c r="H186" s="112" t="s">
        <v>160</v>
      </c>
      <c r="I186" s="114"/>
      <c r="J186" s="114"/>
    </row>
    <row r="187" spans="1:10" ht="110.25">
      <c r="A187" s="157" t="s">
        <v>723</v>
      </c>
      <c r="B187" s="112" t="s">
        <v>127</v>
      </c>
      <c r="C187" s="112" t="s">
        <v>230</v>
      </c>
      <c r="D187" s="112">
        <v>11</v>
      </c>
      <c r="E187" s="112" t="s">
        <v>68</v>
      </c>
      <c r="F187" s="112" t="s">
        <v>69</v>
      </c>
      <c r="G187" s="112" t="s">
        <v>679</v>
      </c>
      <c r="H187" s="112" t="s">
        <v>159</v>
      </c>
      <c r="I187" s="114">
        <v>56000</v>
      </c>
      <c r="J187" s="114">
        <v>56000</v>
      </c>
    </row>
    <row r="188" spans="1:10" ht="67.5" customHeight="1">
      <c r="A188" s="157" t="s">
        <v>594</v>
      </c>
      <c r="B188" s="112" t="s">
        <v>127</v>
      </c>
      <c r="C188" s="112" t="s">
        <v>230</v>
      </c>
      <c r="D188" s="112" t="s">
        <v>223</v>
      </c>
      <c r="E188" s="112" t="s">
        <v>60</v>
      </c>
      <c r="F188" s="112" t="s">
        <v>69</v>
      </c>
      <c r="G188" s="112" t="s">
        <v>521</v>
      </c>
      <c r="H188" s="112" t="s">
        <v>160</v>
      </c>
      <c r="I188" s="114">
        <v>1400000</v>
      </c>
      <c r="J188" s="114">
        <v>1400000</v>
      </c>
    </row>
    <row r="189" spans="1:10" ht="114.75" customHeight="1">
      <c r="A189" s="156" t="s">
        <v>709</v>
      </c>
      <c r="B189" s="112" t="s">
        <v>127</v>
      </c>
      <c r="C189" s="112" t="s">
        <v>230</v>
      </c>
      <c r="D189" s="112" t="s">
        <v>223</v>
      </c>
      <c r="E189" s="112" t="s">
        <v>60</v>
      </c>
      <c r="F189" s="112" t="s">
        <v>69</v>
      </c>
      <c r="G189" s="112" t="s">
        <v>522</v>
      </c>
      <c r="H189" s="112" t="s">
        <v>160</v>
      </c>
      <c r="I189" s="114">
        <v>37380</v>
      </c>
      <c r="J189" s="114">
        <v>37380</v>
      </c>
    </row>
    <row r="190" spans="1:10" ht="209.25" customHeight="1">
      <c r="A190" s="157" t="s">
        <v>710</v>
      </c>
      <c r="B190" s="112" t="s">
        <v>127</v>
      </c>
      <c r="C190" s="112" t="s">
        <v>230</v>
      </c>
      <c r="D190" s="112" t="s">
        <v>223</v>
      </c>
      <c r="E190" s="112" t="s">
        <v>60</v>
      </c>
      <c r="F190" s="112" t="s">
        <v>69</v>
      </c>
      <c r="G190" s="112" t="s">
        <v>523</v>
      </c>
      <c r="H190" s="112" t="s">
        <v>159</v>
      </c>
      <c r="I190" s="114">
        <v>0</v>
      </c>
      <c r="J190" s="114">
        <v>0</v>
      </c>
    </row>
    <row r="191" spans="1:10" ht="192.75" customHeight="1">
      <c r="A191" s="157" t="s">
        <v>711</v>
      </c>
      <c r="B191" s="112" t="s">
        <v>127</v>
      </c>
      <c r="C191" s="112" t="s">
        <v>230</v>
      </c>
      <c r="D191" s="112" t="s">
        <v>223</v>
      </c>
      <c r="E191" s="112" t="s">
        <v>60</v>
      </c>
      <c r="F191" s="112" t="s">
        <v>69</v>
      </c>
      <c r="G191" s="112" t="s">
        <v>523</v>
      </c>
      <c r="H191" s="112" t="s">
        <v>160</v>
      </c>
      <c r="I191" s="114">
        <v>0</v>
      </c>
      <c r="J191" s="114">
        <v>0</v>
      </c>
    </row>
    <row r="192" spans="1:10" ht="156" customHeight="1">
      <c r="A192" s="157" t="s">
        <v>712</v>
      </c>
      <c r="B192" s="112" t="s">
        <v>127</v>
      </c>
      <c r="C192" s="112" t="s">
        <v>230</v>
      </c>
      <c r="D192" s="112" t="s">
        <v>223</v>
      </c>
      <c r="E192" s="112" t="s">
        <v>60</v>
      </c>
      <c r="F192" s="112" t="s">
        <v>69</v>
      </c>
      <c r="G192" s="112" t="s">
        <v>523</v>
      </c>
      <c r="H192" s="112" t="s">
        <v>106</v>
      </c>
      <c r="I192" s="114">
        <v>0</v>
      </c>
      <c r="J192" s="114">
        <v>0</v>
      </c>
    </row>
    <row r="193" spans="1:10" ht="173.25" customHeight="1">
      <c r="A193" s="157" t="s">
        <v>1602</v>
      </c>
      <c r="B193" s="112" t="s">
        <v>127</v>
      </c>
      <c r="C193" s="112" t="s">
        <v>230</v>
      </c>
      <c r="D193" s="112" t="s">
        <v>223</v>
      </c>
      <c r="E193" s="112" t="s">
        <v>60</v>
      </c>
      <c r="F193" s="112" t="s">
        <v>69</v>
      </c>
      <c r="G193" s="112" t="s">
        <v>1373</v>
      </c>
      <c r="H193" s="112" t="s">
        <v>159</v>
      </c>
      <c r="I193" s="114">
        <v>1406160</v>
      </c>
      <c r="J193" s="114">
        <v>1406160</v>
      </c>
    </row>
    <row r="194" spans="1:10" ht="148.5" customHeight="1">
      <c r="A194" s="157" t="s">
        <v>1603</v>
      </c>
      <c r="B194" s="112" t="s">
        <v>127</v>
      </c>
      <c r="C194" s="112" t="s">
        <v>230</v>
      </c>
      <c r="D194" s="112" t="s">
        <v>223</v>
      </c>
      <c r="E194" s="112" t="s">
        <v>60</v>
      </c>
      <c r="F194" s="112" t="s">
        <v>69</v>
      </c>
      <c r="G194" s="112" t="s">
        <v>1373</v>
      </c>
      <c r="H194" s="112" t="s">
        <v>106</v>
      </c>
      <c r="I194" s="114">
        <v>4843440</v>
      </c>
      <c r="J194" s="114">
        <v>4843440</v>
      </c>
    </row>
    <row r="195" spans="1:10" ht="66" customHeight="1" hidden="1">
      <c r="A195" s="157" t="s">
        <v>1141</v>
      </c>
      <c r="B195" s="112" t="s">
        <v>127</v>
      </c>
      <c r="C195" s="112" t="s">
        <v>230</v>
      </c>
      <c r="D195" s="112" t="s">
        <v>517</v>
      </c>
      <c r="E195" s="112" t="s">
        <v>114</v>
      </c>
      <c r="F195" s="112" t="s">
        <v>1167</v>
      </c>
      <c r="G195" s="112" t="s">
        <v>1168</v>
      </c>
      <c r="H195" s="112" t="s">
        <v>160</v>
      </c>
      <c r="I195" s="114"/>
      <c r="J195" s="114"/>
    </row>
    <row r="196" spans="1:10" ht="81.75" customHeight="1">
      <c r="A196" s="157" t="s">
        <v>1404</v>
      </c>
      <c r="B196" s="112" t="s">
        <v>127</v>
      </c>
      <c r="C196" s="112" t="s">
        <v>230</v>
      </c>
      <c r="D196" s="112" t="s">
        <v>223</v>
      </c>
      <c r="E196" s="112" t="s">
        <v>60</v>
      </c>
      <c r="F196" s="112" t="s">
        <v>69</v>
      </c>
      <c r="G196" s="112" t="s">
        <v>1538</v>
      </c>
      <c r="H196" s="112" t="s">
        <v>160</v>
      </c>
      <c r="I196" s="114">
        <v>821970.38</v>
      </c>
      <c r="J196" s="114">
        <v>797698.82</v>
      </c>
    </row>
    <row r="197" spans="1:10" ht="98.25" customHeight="1">
      <c r="A197" s="157" t="s">
        <v>1539</v>
      </c>
      <c r="B197" s="112" t="s">
        <v>127</v>
      </c>
      <c r="C197" s="112" t="s">
        <v>230</v>
      </c>
      <c r="D197" s="112" t="s">
        <v>223</v>
      </c>
      <c r="E197" s="112" t="s">
        <v>60</v>
      </c>
      <c r="F197" s="112" t="s">
        <v>69</v>
      </c>
      <c r="G197" s="112" t="s">
        <v>1538</v>
      </c>
      <c r="H197" s="112" t="s">
        <v>106</v>
      </c>
      <c r="I197" s="114">
        <v>5158746.62</v>
      </c>
      <c r="J197" s="114">
        <v>5006416.6</v>
      </c>
    </row>
    <row r="198" spans="1:10" ht="98.25" customHeight="1">
      <c r="A198" s="157" t="s">
        <v>1583</v>
      </c>
      <c r="B198" s="112" t="s">
        <v>127</v>
      </c>
      <c r="C198" s="112" t="s">
        <v>230</v>
      </c>
      <c r="D198" s="112" t="s">
        <v>223</v>
      </c>
      <c r="E198" s="112" t="s">
        <v>60</v>
      </c>
      <c r="F198" s="112" t="s">
        <v>1580</v>
      </c>
      <c r="G198" s="112" t="s">
        <v>1581</v>
      </c>
      <c r="H198" s="112" t="s">
        <v>160</v>
      </c>
      <c r="I198" s="176">
        <v>1568904.26</v>
      </c>
      <c r="J198" s="114">
        <v>1568664.34</v>
      </c>
    </row>
    <row r="199" spans="1:10" ht="210" customHeight="1">
      <c r="A199" s="157" t="s">
        <v>469</v>
      </c>
      <c r="B199" s="112" t="s">
        <v>127</v>
      </c>
      <c r="C199" s="112" t="s">
        <v>230</v>
      </c>
      <c r="D199" s="112" t="s">
        <v>158</v>
      </c>
      <c r="E199" s="112" t="s">
        <v>114</v>
      </c>
      <c r="F199" s="112" t="s">
        <v>489</v>
      </c>
      <c r="G199" s="112" t="s">
        <v>524</v>
      </c>
      <c r="H199" s="112" t="s">
        <v>106</v>
      </c>
      <c r="I199" s="114">
        <v>0</v>
      </c>
      <c r="J199" s="114">
        <v>0</v>
      </c>
    </row>
    <row r="200" spans="1:10" ht="18" customHeight="1">
      <c r="A200" s="120" t="s">
        <v>706</v>
      </c>
      <c r="B200" s="22" t="s">
        <v>127</v>
      </c>
      <c r="C200" s="22" t="s">
        <v>705</v>
      </c>
      <c r="D200" s="22"/>
      <c r="E200" s="22"/>
      <c r="F200" s="22"/>
      <c r="G200" s="22"/>
      <c r="H200" s="22"/>
      <c r="I200" s="172">
        <f>SUM(I201:I209)</f>
        <v>6220122.74</v>
      </c>
      <c r="J200" s="172">
        <f>SUM(J201:J209)</f>
        <v>5384422.09</v>
      </c>
    </row>
    <row r="201" spans="1:10" ht="79.5" customHeight="1">
      <c r="A201" s="157" t="s">
        <v>525</v>
      </c>
      <c r="B201" s="112" t="s">
        <v>127</v>
      </c>
      <c r="C201" s="112" t="s">
        <v>705</v>
      </c>
      <c r="D201" s="112" t="s">
        <v>223</v>
      </c>
      <c r="E201" s="112" t="s">
        <v>224</v>
      </c>
      <c r="F201" s="112" t="s">
        <v>69</v>
      </c>
      <c r="G201" s="112" t="s">
        <v>526</v>
      </c>
      <c r="H201" s="112" t="s">
        <v>106</v>
      </c>
      <c r="I201" s="169">
        <f>4905060.25+684380.09-50</f>
        <v>5589390.34</v>
      </c>
      <c r="J201" s="169">
        <f>4905060.25+341161.84</f>
        <v>5246222.09</v>
      </c>
    </row>
    <row r="202" spans="1:10" ht="102" customHeight="1">
      <c r="A202" s="157" t="s">
        <v>838</v>
      </c>
      <c r="B202" s="112" t="s">
        <v>127</v>
      </c>
      <c r="C202" s="112" t="s">
        <v>705</v>
      </c>
      <c r="D202" s="112" t="s">
        <v>223</v>
      </c>
      <c r="E202" s="112" t="s">
        <v>224</v>
      </c>
      <c r="F202" s="112" t="s">
        <v>69</v>
      </c>
      <c r="G202" s="112" t="s">
        <v>840</v>
      </c>
      <c r="H202" s="112" t="s">
        <v>106</v>
      </c>
      <c r="I202" s="169">
        <v>0</v>
      </c>
      <c r="J202" s="169">
        <v>0</v>
      </c>
    </row>
    <row r="203" spans="1:10" ht="110.25">
      <c r="A203" s="157" t="s">
        <v>704</v>
      </c>
      <c r="B203" s="112" t="s">
        <v>127</v>
      </c>
      <c r="C203" s="112" t="s">
        <v>705</v>
      </c>
      <c r="D203" s="112" t="s">
        <v>223</v>
      </c>
      <c r="E203" s="112" t="s">
        <v>224</v>
      </c>
      <c r="F203" s="112" t="s">
        <v>69</v>
      </c>
      <c r="G203" s="112" t="s">
        <v>527</v>
      </c>
      <c r="H203" s="112" t="s">
        <v>106</v>
      </c>
      <c r="I203" s="169">
        <v>0</v>
      </c>
      <c r="J203" s="169">
        <v>0</v>
      </c>
    </row>
    <row r="204" spans="1:10" ht="78.75">
      <c r="A204" s="157" t="s">
        <v>1112</v>
      </c>
      <c r="B204" s="112" t="s">
        <v>127</v>
      </c>
      <c r="C204" s="112" t="s">
        <v>705</v>
      </c>
      <c r="D204" s="112" t="s">
        <v>223</v>
      </c>
      <c r="E204" s="112" t="s">
        <v>224</v>
      </c>
      <c r="F204" s="112" t="s">
        <v>69</v>
      </c>
      <c r="G204" s="112" t="s">
        <v>1113</v>
      </c>
      <c r="H204" s="112" t="s">
        <v>106</v>
      </c>
      <c r="I204" s="169">
        <v>0</v>
      </c>
      <c r="J204" s="169">
        <v>0</v>
      </c>
    </row>
    <row r="205" spans="1:10" ht="48" customHeight="1">
      <c r="A205" s="186" t="s">
        <v>1138</v>
      </c>
      <c r="B205" s="112" t="s">
        <v>127</v>
      </c>
      <c r="C205" s="112" t="s">
        <v>705</v>
      </c>
      <c r="D205" s="112" t="s">
        <v>223</v>
      </c>
      <c r="E205" s="112" t="s">
        <v>224</v>
      </c>
      <c r="F205" s="112" t="s">
        <v>69</v>
      </c>
      <c r="G205" s="112" t="s">
        <v>1123</v>
      </c>
      <c r="H205" s="112" t="s">
        <v>106</v>
      </c>
      <c r="I205" s="169">
        <v>0</v>
      </c>
      <c r="J205" s="169">
        <v>0</v>
      </c>
    </row>
    <row r="206" spans="1:10" ht="94.5">
      <c r="A206" s="186" t="s">
        <v>1139</v>
      </c>
      <c r="B206" s="112" t="s">
        <v>127</v>
      </c>
      <c r="C206" s="112" t="s">
        <v>705</v>
      </c>
      <c r="D206" s="112" t="s">
        <v>223</v>
      </c>
      <c r="E206" s="112" t="s">
        <v>224</v>
      </c>
      <c r="F206" s="112" t="s">
        <v>69</v>
      </c>
      <c r="G206" s="112" t="s">
        <v>1124</v>
      </c>
      <c r="H206" s="112" t="s">
        <v>106</v>
      </c>
      <c r="I206" s="169">
        <v>0</v>
      </c>
      <c r="J206" s="169">
        <v>0</v>
      </c>
    </row>
    <row r="207" spans="1:10" ht="96.75" customHeight="1">
      <c r="A207" s="186" t="s">
        <v>1584</v>
      </c>
      <c r="B207" s="112" t="s">
        <v>127</v>
      </c>
      <c r="C207" s="112" t="s">
        <v>705</v>
      </c>
      <c r="D207" s="112" t="s">
        <v>223</v>
      </c>
      <c r="E207" s="112" t="s">
        <v>224</v>
      </c>
      <c r="F207" s="112" t="s">
        <v>1585</v>
      </c>
      <c r="G207" s="112" t="s">
        <v>1586</v>
      </c>
      <c r="H207" s="112" t="s">
        <v>106</v>
      </c>
      <c r="I207" s="176">
        <v>492532.4</v>
      </c>
      <c r="J207" s="169">
        <v>0</v>
      </c>
    </row>
    <row r="208" spans="1:10" ht="47.25">
      <c r="A208" s="128" t="s">
        <v>1310</v>
      </c>
      <c r="B208" s="177">
        <v>909</v>
      </c>
      <c r="C208" s="178" t="s">
        <v>705</v>
      </c>
      <c r="D208" s="178" t="s">
        <v>223</v>
      </c>
      <c r="E208" s="178" t="s">
        <v>224</v>
      </c>
      <c r="F208" s="178" t="s">
        <v>69</v>
      </c>
      <c r="G208" s="62" t="s">
        <v>1470</v>
      </c>
      <c r="H208" s="178" t="s">
        <v>106</v>
      </c>
      <c r="I208" s="181">
        <v>138200</v>
      </c>
      <c r="J208" s="181">
        <v>138200</v>
      </c>
    </row>
    <row r="209" spans="1:10" ht="63">
      <c r="A209" s="186" t="s">
        <v>1140</v>
      </c>
      <c r="B209" s="112" t="s">
        <v>127</v>
      </c>
      <c r="C209" s="112" t="s">
        <v>705</v>
      </c>
      <c r="D209" s="112" t="s">
        <v>223</v>
      </c>
      <c r="E209" s="112" t="s">
        <v>224</v>
      </c>
      <c r="F209" s="112" t="s">
        <v>69</v>
      </c>
      <c r="G209" s="112" t="s">
        <v>1125</v>
      </c>
      <c r="H209" s="112" t="s">
        <v>106</v>
      </c>
      <c r="I209" s="169">
        <v>0</v>
      </c>
      <c r="J209" s="169">
        <v>0</v>
      </c>
    </row>
    <row r="210" spans="1:10" ht="20.25" customHeight="1">
      <c r="A210" s="174" t="s">
        <v>135</v>
      </c>
      <c r="B210" s="22" t="s">
        <v>127</v>
      </c>
      <c r="C210" s="22" t="s">
        <v>136</v>
      </c>
      <c r="D210" s="22"/>
      <c r="E210" s="22"/>
      <c r="F210" s="22"/>
      <c r="G210" s="22"/>
      <c r="H210" s="22"/>
      <c r="I210" s="124">
        <f>SUM(I211:I217)</f>
        <v>579348</v>
      </c>
      <c r="J210" s="124">
        <f>SUM(J211:J217)</f>
        <v>579348</v>
      </c>
    </row>
    <row r="211" spans="1:10" ht="64.5" customHeight="1" hidden="1">
      <c r="A211" s="157" t="s">
        <v>596</v>
      </c>
      <c r="B211" s="177">
        <v>909</v>
      </c>
      <c r="C211" s="178" t="s">
        <v>136</v>
      </c>
      <c r="D211" s="178">
        <v>11</v>
      </c>
      <c r="E211" s="178" t="s">
        <v>68</v>
      </c>
      <c r="F211" s="178" t="s">
        <v>69</v>
      </c>
      <c r="G211" s="178" t="s">
        <v>724</v>
      </c>
      <c r="H211" s="178" t="s">
        <v>160</v>
      </c>
      <c r="I211" s="181">
        <v>0</v>
      </c>
      <c r="J211" s="181">
        <v>0</v>
      </c>
    </row>
    <row r="212" spans="1:10" ht="63" hidden="1">
      <c r="A212" s="63" t="s">
        <v>596</v>
      </c>
      <c r="B212" s="177">
        <v>909</v>
      </c>
      <c r="C212" s="178" t="s">
        <v>136</v>
      </c>
      <c r="D212" s="178">
        <v>11</v>
      </c>
      <c r="E212" s="178" t="s">
        <v>68</v>
      </c>
      <c r="F212" s="178" t="s">
        <v>69</v>
      </c>
      <c r="G212" s="178" t="s">
        <v>724</v>
      </c>
      <c r="H212" s="178" t="s">
        <v>160</v>
      </c>
      <c r="I212" s="114">
        <v>0</v>
      </c>
      <c r="J212" s="114">
        <v>0</v>
      </c>
    </row>
    <row r="213" spans="1:10" ht="78.75" hidden="1">
      <c r="A213" s="157" t="s">
        <v>1329</v>
      </c>
      <c r="B213" s="177">
        <v>909</v>
      </c>
      <c r="C213" s="178" t="s">
        <v>136</v>
      </c>
      <c r="D213" s="178">
        <v>11</v>
      </c>
      <c r="E213" s="178" t="s">
        <v>68</v>
      </c>
      <c r="F213" s="178" t="s">
        <v>69</v>
      </c>
      <c r="G213" s="178" t="s">
        <v>724</v>
      </c>
      <c r="H213" s="178" t="s">
        <v>106</v>
      </c>
      <c r="I213" s="114">
        <v>0</v>
      </c>
      <c r="J213" s="114">
        <v>0</v>
      </c>
    </row>
    <row r="214" spans="1:10" ht="94.5" hidden="1">
      <c r="A214" s="156" t="s">
        <v>677</v>
      </c>
      <c r="B214" s="112" t="s">
        <v>127</v>
      </c>
      <c r="C214" s="112" t="s">
        <v>136</v>
      </c>
      <c r="D214" s="112">
        <v>11</v>
      </c>
      <c r="E214" s="112" t="s">
        <v>68</v>
      </c>
      <c r="F214" s="112" t="s">
        <v>69</v>
      </c>
      <c r="G214" s="112" t="s">
        <v>529</v>
      </c>
      <c r="H214" s="112" t="s">
        <v>106</v>
      </c>
      <c r="I214" s="169">
        <v>0</v>
      </c>
      <c r="J214" s="169">
        <v>0</v>
      </c>
    </row>
    <row r="215" spans="1:10" ht="63">
      <c r="A215" s="157" t="s">
        <v>596</v>
      </c>
      <c r="B215" s="177">
        <v>909</v>
      </c>
      <c r="C215" s="178" t="s">
        <v>136</v>
      </c>
      <c r="D215" s="178" t="s">
        <v>223</v>
      </c>
      <c r="E215" s="178" t="s">
        <v>60</v>
      </c>
      <c r="F215" s="178" t="s">
        <v>69</v>
      </c>
      <c r="G215" s="178" t="s">
        <v>724</v>
      </c>
      <c r="H215" s="178" t="s">
        <v>160</v>
      </c>
      <c r="I215" s="181">
        <f>71148+63525</f>
        <v>134673</v>
      </c>
      <c r="J215" s="181">
        <f>71148+63525</f>
        <v>134673</v>
      </c>
    </row>
    <row r="216" spans="1:10" ht="78.75">
      <c r="A216" s="157" t="s">
        <v>1329</v>
      </c>
      <c r="B216" s="177">
        <v>909</v>
      </c>
      <c r="C216" s="178" t="s">
        <v>136</v>
      </c>
      <c r="D216" s="178" t="s">
        <v>223</v>
      </c>
      <c r="E216" s="178" t="s">
        <v>60</v>
      </c>
      <c r="F216" s="178" t="s">
        <v>69</v>
      </c>
      <c r="G216" s="178" t="s">
        <v>724</v>
      </c>
      <c r="H216" s="178" t="s">
        <v>106</v>
      </c>
      <c r="I216" s="114">
        <v>393855</v>
      </c>
      <c r="J216" s="114">
        <v>393855</v>
      </c>
    </row>
    <row r="217" spans="1:10" ht="94.5">
      <c r="A217" s="156" t="s">
        <v>677</v>
      </c>
      <c r="B217" s="112" t="s">
        <v>127</v>
      </c>
      <c r="C217" s="112" t="s">
        <v>136</v>
      </c>
      <c r="D217" s="178" t="s">
        <v>223</v>
      </c>
      <c r="E217" s="178" t="s">
        <v>60</v>
      </c>
      <c r="F217" s="112" t="s">
        <v>69</v>
      </c>
      <c r="G217" s="112" t="s">
        <v>529</v>
      </c>
      <c r="H217" s="112" t="s">
        <v>106</v>
      </c>
      <c r="I217" s="169">
        <v>50820</v>
      </c>
      <c r="J217" s="169">
        <v>50820</v>
      </c>
    </row>
    <row r="218" spans="1:10" ht="15.75">
      <c r="A218" s="168" t="s">
        <v>231</v>
      </c>
      <c r="B218" s="22" t="s">
        <v>127</v>
      </c>
      <c r="C218" s="22" t="s">
        <v>232</v>
      </c>
      <c r="D218" s="22"/>
      <c r="E218" s="22"/>
      <c r="F218" s="22"/>
      <c r="G218" s="22"/>
      <c r="H218" s="22"/>
      <c r="I218" s="124">
        <f>SUM(I219:I224)</f>
        <v>8564544.770000001</v>
      </c>
      <c r="J218" s="124">
        <f>SUM(J219:J224)</f>
        <v>10086912.35</v>
      </c>
    </row>
    <row r="219" spans="1:10" ht="112.5" customHeight="1">
      <c r="A219" s="156" t="s">
        <v>535</v>
      </c>
      <c r="B219" s="112" t="s">
        <v>127</v>
      </c>
      <c r="C219" s="112" t="s">
        <v>232</v>
      </c>
      <c r="D219" s="112" t="s">
        <v>115</v>
      </c>
      <c r="E219" s="112" t="s">
        <v>60</v>
      </c>
      <c r="F219" s="112" t="s">
        <v>115</v>
      </c>
      <c r="G219" s="112" t="s">
        <v>531</v>
      </c>
      <c r="H219" s="112" t="s">
        <v>159</v>
      </c>
      <c r="I219" s="169">
        <f>4278731.61+180013.49</f>
        <v>4458745.100000001</v>
      </c>
      <c r="J219" s="169">
        <f>4278731.61+180013.49</f>
        <v>4458745.100000001</v>
      </c>
    </row>
    <row r="220" spans="1:10" ht="65.25" customHeight="1">
      <c r="A220" s="156" t="s">
        <v>581</v>
      </c>
      <c r="B220" s="112" t="s">
        <v>127</v>
      </c>
      <c r="C220" s="112" t="s">
        <v>232</v>
      </c>
      <c r="D220" s="112" t="s">
        <v>115</v>
      </c>
      <c r="E220" s="112" t="s">
        <v>60</v>
      </c>
      <c r="F220" s="112" t="s">
        <v>115</v>
      </c>
      <c r="G220" s="112" t="s">
        <v>531</v>
      </c>
      <c r="H220" s="112" t="s">
        <v>160</v>
      </c>
      <c r="I220" s="114">
        <v>784950.65</v>
      </c>
      <c r="J220" s="114">
        <v>784950.65</v>
      </c>
    </row>
    <row r="221" spans="1:10" ht="47.25">
      <c r="A221" s="156" t="s">
        <v>530</v>
      </c>
      <c r="B221" s="112" t="s">
        <v>127</v>
      </c>
      <c r="C221" s="112" t="s">
        <v>232</v>
      </c>
      <c r="D221" s="112" t="s">
        <v>115</v>
      </c>
      <c r="E221" s="112" t="s">
        <v>60</v>
      </c>
      <c r="F221" s="112" t="s">
        <v>115</v>
      </c>
      <c r="G221" s="112" t="s">
        <v>531</v>
      </c>
      <c r="H221" s="112" t="s">
        <v>161</v>
      </c>
      <c r="I221" s="114">
        <v>0</v>
      </c>
      <c r="J221" s="114">
        <v>0</v>
      </c>
    </row>
    <row r="222" spans="1:10" ht="67.5" customHeight="1">
      <c r="A222" s="156" t="s">
        <v>1568</v>
      </c>
      <c r="B222" s="112" t="s">
        <v>127</v>
      </c>
      <c r="C222" s="112" t="s">
        <v>232</v>
      </c>
      <c r="D222" s="112" t="s">
        <v>223</v>
      </c>
      <c r="E222" s="112" t="s">
        <v>60</v>
      </c>
      <c r="F222" s="112" t="s">
        <v>1331</v>
      </c>
      <c r="G222" s="112" t="s">
        <v>1332</v>
      </c>
      <c r="H222" s="112" t="s">
        <v>160</v>
      </c>
      <c r="I222" s="114">
        <v>1584567.51</v>
      </c>
      <c r="J222" s="114">
        <v>3127668.4</v>
      </c>
    </row>
    <row r="223" spans="1:10" ht="84.75" customHeight="1">
      <c r="A223" s="156" t="s">
        <v>1569</v>
      </c>
      <c r="B223" s="112" t="s">
        <v>127</v>
      </c>
      <c r="C223" s="112" t="s">
        <v>232</v>
      </c>
      <c r="D223" s="112" t="s">
        <v>223</v>
      </c>
      <c r="E223" s="112" t="s">
        <v>60</v>
      </c>
      <c r="F223" s="112" t="s">
        <v>1331</v>
      </c>
      <c r="G223" s="112" t="s">
        <v>1332</v>
      </c>
      <c r="H223" s="112" t="s">
        <v>106</v>
      </c>
      <c r="I223" s="114">
        <v>1584567.51</v>
      </c>
      <c r="J223" s="114">
        <v>1563834.2</v>
      </c>
    </row>
    <row r="224" spans="1:10" ht="78.75">
      <c r="A224" s="63" t="s">
        <v>954</v>
      </c>
      <c r="B224" s="112" t="s">
        <v>127</v>
      </c>
      <c r="C224" s="112" t="s">
        <v>232</v>
      </c>
      <c r="D224" s="112" t="s">
        <v>223</v>
      </c>
      <c r="E224" s="112" t="s">
        <v>60</v>
      </c>
      <c r="F224" s="112" t="s">
        <v>115</v>
      </c>
      <c r="G224" s="112" t="s">
        <v>963</v>
      </c>
      <c r="H224" s="112" t="s">
        <v>106</v>
      </c>
      <c r="I224" s="114">
        <v>151714</v>
      </c>
      <c r="J224" s="114">
        <v>151714</v>
      </c>
    </row>
    <row r="225" spans="1:10" ht="15.75">
      <c r="A225" s="175" t="s">
        <v>245</v>
      </c>
      <c r="B225" s="22" t="s">
        <v>127</v>
      </c>
      <c r="C225" s="22" t="s">
        <v>246</v>
      </c>
      <c r="D225" s="22"/>
      <c r="E225" s="22"/>
      <c r="F225" s="22"/>
      <c r="G225" s="22"/>
      <c r="H225" s="22"/>
      <c r="I225" s="124">
        <f>I226+I229</f>
        <v>2265012.8</v>
      </c>
      <c r="J225" s="124">
        <f>J226+J229</f>
        <v>2252512.8</v>
      </c>
    </row>
    <row r="226" spans="1:10" ht="15.75">
      <c r="A226" s="168" t="s">
        <v>196</v>
      </c>
      <c r="B226" s="22" t="s">
        <v>127</v>
      </c>
      <c r="C226" s="22" t="s">
        <v>197</v>
      </c>
      <c r="D226" s="22"/>
      <c r="E226" s="22"/>
      <c r="F226" s="22"/>
      <c r="G226" s="22"/>
      <c r="H226" s="22"/>
      <c r="I226" s="124">
        <f>I227+I228</f>
        <v>1217512.8</v>
      </c>
      <c r="J226" s="124">
        <f>J227+J228</f>
        <v>1217512.8</v>
      </c>
    </row>
    <row r="227" spans="1:10" ht="114" customHeight="1">
      <c r="A227" s="156" t="s">
        <v>533</v>
      </c>
      <c r="B227" s="112" t="s">
        <v>127</v>
      </c>
      <c r="C227" s="112" t="s">
        <v>197</v>
      </c>
      <c r="D227" s="112" t="s">
        <v>223</v>
      </c>
      <c r="E227" s="112" t="s">
        <v>68</v>
      </c>
      <c r="F227" s="112" t="s">
        <v>69</v>
      </c>
      <c r="G227" s="112" t="s">
        <v>532</v>
      </c>
      <c r="H227" s="112" t="s">
        <v>107</v>
      </c>
      <c r="I227" s="169">
        <v>1130892.7</v>
      </c>
      <c r="J227" s="169">
        <v>1130892.7</v>
      </c>
    </row>
    <row r="228" spans="1:10" ht="116.25" customHeight="1">
      <c r="A228" s="156" t="s">
        <v>533</v>
      </c>
      <c r="B228" s="112" t="s">
        <v>127</v>
      </c>
      <c r="C228" s="112" t="s">
        <v>197</v>
      </c>
      <c r="D228" s="112" t="s">
        <v>223</v>
      </c>
      <c r="E228" s="112" t="s">
        <v>60</v>
      </c>
      <c r="F228" s="112" t="s">
        <v>69</v>
      </c>
      <c r="G228" s="112" t="s">
        <v>532</v>
      </c>
      <c r="H228" s="112" t="s">
        <v>107</v>
      </c>
      <c r="I228" s="114">
        <v>86620.1</v>
      </c>
      <c r="J228" s="114">
        <v>86620.1</v>
      </c>
    </row>
    <row r="229" spans="1:10" ht="15.75">
      <c r="A229" s="168" t="s">
        <v>320</v>
      </c>
      <c r="B229" s="22" t="s">
        <v>127</v>
      </c>
      <c r="C229" s="22" t="s">
        <v>319</v>
      </c>
      <c r="D229" s="22"/>
      <c r="E229" s="22"/>
      <c r="F229" s="22"/>
      <c r="G229" s="22"/>
      <c r="H229" s="22"/>
      <c r="I229" s="124">
        <f>I230+I231+I233+I232</f>
        <v>1047500</v>
      </c>
      <c r="J229" s="124">
        <f>J230+J231+J233+J232</f>
        <v>1035000</v>
      </c>
    </row>
    <row r="230" spans="1:10" ht="100.5" customHeight="1">
      <c r="A230" s="156" t="s">
        <v>1517</v>
      </c>
      <c r="B230" s="112" t="s">
        <v>127</v>
      </c>
      <c r="C230" s="112" t="s">
        <v>319</v>
      </c>
      <c r="D230" s="112" t="s">
        <v>158</v>
      </c>
      <c r="E230" s="112" t="s">
        <v>114</v>
      </c>
      <c r="F230" s="112" t="s">
        <v>489</v>
      </c>
      <c r="G230" s="112" t="s">
        <v>534</v>
      </c>
      <c r="H230" s="112" t="s">
        <v>161</v>
      </c>
      <c r="I230" s="169">
        <v>1035000</v>
      </c>
      <c r="J230" s="169">
        <v>1035000</v>
      </c>
    </row>
    <row r="231" spans="1:10" ht="66" customHeight="1">
      <c r="A231" s="157" t="s">
        <v>905</v>
      </c>
      <c r="B231" s="112" t="s">
        <v>127</v>
      </c>
      <c r="C231" s="112" t="s">
        <v>319</v>
      </c>
      <c r="D231" s="112" t="s">
        <v>1249</v>
      </c>
      <c r="E231" s="112" t="s">
        <v>68</v>
      </c>
      <c r="F231" s="112" t="s">
        <v>115</v>
      </c>
      <c r="G231" s="112" t="s">
        <v>925</v>
      </c>
      <c r="H231" s="112" t="s">
        <v>160</v>
      </c>
      <c r="I231" s="169">
        <v>8500</v>
      </c>
      <c r="J231" s="169">
        <v>0</v>
      </c>
    </row>
    <row r="232" spans="1:10" ht="83.25" customHeight="1">
      <c r="A232" s="157" t="s">
        <v>1253</v>
      </c>
      <c r="B232" s="112" t="s">
        <v>127</v>
      </c>
      <c r="C232" s="112" t="s">
        <v>319</v>
      </c>
      <c r="D232" s="112" t="s">
        <v>1249</v>
      </c>
      <c r="E232" s="112" t="s">
        <v>68</v>
      </c>
      <c r="F232" s="112" t="s">
        <v>69</v>
      </c>
      <c r="G232" s="112" t="s">
        <v>1255</v>
      </c>
      <c r="H232" s="112" t="s">
        <v>160</v>
      </c>
      <c r="I232" s="169">
        <v>4000</v>
      </c>
      <c r="J232" s="169">
        <v>0</v>
      </c>
    </row>
    <row r="233" spans="1:10" ht="81.75" customHeight="1" hidden="1">
      <c r="A233" s="122" t="s">
        <v>862</v>
      </c>
      <c r="B233" s="21" t="s">
        <v>127</v>
      </c>
      <c r="C233" s="21" t="s">
        <v>319</v>
      </c>
      <c r="D233" s="21" t="s">
        <v>1249</v>
      </c>
      <c r="E233" s="21" t="s">
        <v>68</v>
      </c>
      <c r="F233" s="21" t="s">
        <v>233</v>
      </c>
      <c r="G233" s="21" t="s">
        <v>926</v>
      </c>
      <c r="H233" s="21" t="s">
        <v>160</v>
      </c>
      <c r="I233" s="171"/>
      <c r="J233" s="171"/>
    </row>
    <row r="234" spans="1:10" ht="31.5">
      <c r="A234" s="166" t="s">
        <v>111</v>
      </c>
      <c r="B234" s="167" t="s">
        <v>110</v>
      </c>
      <c r="C234" s="167"/>
      <c r="D234" s="167"/>
      <c r="E234" s="167"/>
      <c r="F234" s="167"/>
      <c r="G234" s="167"/>
      <c r="H234" s="167"/>
      <c r="I234" s="148">
        <f>I235+I246</f>
        <v>4675700</v>
      </c>
      <c r="J234" s="148">
        <f>J235+J246</f>
        <v>4684700</v>
      </c>
    </row>
    <row r="235" spans="1:10" ht="15.75">
      <c r="A235" s="168" t="s">
        <v>275</v>
      </c>
      <c r="B235" s="22" t="s">
        <v>110</v>
      </c>
      <c r="C235" s="22" t="s">
        <v>276</v>
      </c>
      <c r="D235" s="22"/>
      <c r="E235" s="22"/>
      <c r="F235" s="22"/>
      <c r="G235" s="22"/>
      <c r="H235" s="22"/>
      <c r="I235" s="124">
        <f>I236+I240+I242+I244</f>
        <v>4666700</v>
      </c>
      <c r="J235" s="124">
        <f>J236+J240+J242+J244</f>
        <v>4666700</v>
      </c>
    </row>
    <row r="236" spans="1:10" ht="47.25">
      <c r="A236" s="168" t="s">
        <v>602</v>
      </c>
      <c r="B236" s="22" t="s">
        <v>110</v>
      </c>
      <c r="C236" s="22" t="s">
        <v>126</v>
      </c>
      <c r="D236" s="22"/>
      <c r="E236" s="22"/>
      <c r="F236" s="22"/>
      <c r="G236" s="22"/>
      <c r="H236" s="22"/>
      <c r="I236" s="124">
        <f>SUM(I237:I239)</f>
        <v>4366700</v>
      </c>
      <c r="J236" s="124">
        <f>SUM(J237:J239)</f>
        <v>4366700</v>
      </c>
    </row>
    <row r="237" spans="1:10" ht="98.25" customHeight="1">
      <c r="A237" s="122" t="s">
        <v>536</v>
      </c>
      <c r="B237" s="21" t="s">
        <v>110</v>
      </c>
      <c r="C237" s="21" t="s">
        <v>126</v>
      </c>
      <c r="D237" s="21" t="s">
        <v>287</v>
      </c>
      <c r="E237" s="21" t="s">
        <v>68</v>
      </c>
      <c r="F237" s="21" t="s">
        <v>69</v>
      </c>
      <c r="G237" s="21" t="s">
        <v>537</v>
      </c>
      <c r="H237" s="21" t="s">
        <v>159</v>
      </c>
      <c r="I237" s="183">
        <v>4011006.96</v>
      </c>
      <c r="J237" s="183">
        <v>4010906.96</v>
      </c>
    </row>
    <row r="238" spans="1:10" ht="63">
      <c r="A238" s="122" t="s">
        <v>595</v>
      </c>
      <c r="B238" s="21" t="s">
        <v>110</v>
      </c>
      <c r="C238" s="21" t="s">
        <v>126</v>
      </c>
      <c r="D238" s="21" t="s">
        <v>287</v>
      </c>
      <c r="E238" s="21" t="s">
        <v>68</v>
      </c>
      <c r="F238" s="21" t="s">
        <v>69</v>
      </c>
      <c r="G238" s="21" t="s">
        <v>537</v>
      </c>
      <c r="H238" s="21" t="s">
        <v>160</v>
      </c>
      <c r="I238" s="183">
        <v>355693.04</v>
      </c>
      <c r="J238" s="435">
        <v>355793.04</v>
      </c>
    </row>
    <row r="239" spans="1:10" ht="47.25">
      <c r="A239" s="122" t="s">
        <v>452</v>
      </c>
      <c r="B239" s="21" t="s">
        <v>110</v>
      </c>
      <c r="C239" s="21" t="s">
        <v>126</v>
      </c>
      <c r="D239" s="21" t="s">
        <v>287</v>
      </c>
      <c r="E239" s="21" t="s">
        <v>68</v>
      </c>
      <c r="F239" s="21" t="s">
        <v>69</v>
      </c>
      <c r="G239" s="21" t="s">
        <v>537</v>
      </c>
      <c r="H239" s="21" t="s">
        <v>161</v>
      </c>
      <c r="I239" s="79">
        <v>0</v>
      </c>
      <c r="J239" s="79">
        <v>0</v>
      </c>
    </row>
    <row r="240" spans="1:10" ht="15.75">
      <c r="A240" s="160" t="s">
        <v>603</v>
      </c>
      <c r="B240" s="117" t="s">
        <v>110</v>
      </c>
      <c r="C240" s="117" t="s">
        <v>258</v>
      </c>
      <c r="D240" s="117"/>
      <c r="E240" s="117"/>
      <c r="F240" s="117"/>
      <c r="G240" s="117"/>
      <c r="H240" s="117"/>
      <c r="I240" s="124">
        <f>I241</f>
        <v>0</v>
      </c>
      <c r="J240" s="124">
        <f>J241</f>
        <v>0</v>
      </c>
    </row>
    <row r="241" spans="1:10" ht="66.75" customHeight="1">
      <c r="A241" s="156" t="s">
        <v>1328</v>
      </c>
      <c r="B241" s="112" t="s">
        <v>110</v>
      </c>
      <c r="C241" s="112" t="s">
        <v>258</v>
      </c>
      <c r="D241" s="112" t="s">
        <v>538</v>
      </c>
      <c r="E241" s="112" t="s">
        <v>114</v>
      </c>
      <c r="F241" s="112" t="s">
        <v>489</v>
      </c>
      <c r="G241" s="112" t="s">
        <v>539</v>
      </c>
      <c r="H241" s="112" t="s">
        <v>53</v>
      </c>
      <c r="I241" s="114">
        <v>0</v>
      </c>
      <c r="J241" s="114">
        <v>0</v>
      </c>
    </row>
    <row r="242" spans="1:10" ht="15.75">
      <c r="A242" s="160" t="s">
        <v>1222</v>
      </c>
      <c r="B242" s="117" t="s">
        <v>110</v>
      </c>
      <c r="C242" s="117" t="s">
        <v>1223</v>
      </c>
      <c r="D242" s="101"/>
      <c r="E242" s="101"/>
      <c r="F242" s="101"/>
      <c r="G242" s="101"/>
      <c r="H242" s="101"/>
      <c r="I242" s="124">
        <f>I243</f>
        <v>300000</v>
      </c>
      <c r="J242" s="124">
        <f>J243</f>
        <v>300000</v>
      </c>
    </row>
    <row r="243" spans="1:10" ht="33" customHeight="1">
      <c r="A243" s="156" t="s">
        <v>1224</v>
      </c>
      <c r="B243" s="20" t="s">
        <v>110</v>
      </c>
      <c r="C243" s="20" t="s">
        <v>1223</v>
      </c>
      <c r="D243" s="20" t="s">
        <v>158</v>
      </c>
      <c r="E243" s="20" t="s">
        <v>114</v>
      </c>
      <c r="F243" s="20" t="s">
        <v>489</v>
      </c>
      <c r="G243" s="20" t="s">
        <v>1261</v>
      </c>
      <c r="H243" s="20" t="s">
        <v>161</v>
      </c>
      <c r="I243" s="169">
        <v>300000</v>
      </c>
      <c r="J243" s="169">
        <v>300000</v>
      </c>
    </row>
    <row r="244" spans="1:10" ht="15.75">
      <c r="A244" s="160" t="s">
        <v>306</v>
      </c>
      <c r="B244" s="117" t="s">
        <v>110</v>
      </c>
      <c r="C244" s="117" t="s">
        <v>307</v>
      </c>
      <c r="D244" s="101"/>
      <c r="E244" s="101"/>
      <c r="F244" s="101"/>
      <c r="G244" s="101"/>
      <c r="H244" s="101"/>
      <c r="I244" s="124">
        <f>I245</f>
        <v>0</v>
      </c>
      <c r="J244" s="124">
        <f>J245</f>
        <v>0</v>
      </c>
    </row>
    <row r="245" spans="1:10" ht="181.5" customHeight="1">
      <c r="A245" s="60" t="s">
        <v>986</v>
      </c>
      <c r="B245" s="21" t="s">
        <v>110</v>
      </c>
      <c r="C245" s="21" t="s">
        <v>307</v>
      </c>
      <c r="D245" s="21" t="s">
        <v>158</v>
      </c>
      <c r="E245" s="21" t="s">
        <v>114</v>
      </c>
      <c r="F245" s="21" t="s">
        <v>489</v>
      </c>
      <c r="G245" s="21" t="s">
        <v>608</v>
      </c>
      <c r="H245" s="21" t="s">
        <v>161</v>
      </c>
      <c r="I245" s="79">
        <v>0</v>
      </c>
      <c r="J245" s="79">
        <v>0</v>
      </c>
    </row>
    <row r="246" spans="1:10" ht="15.75">
      <c r="A246" s="120" t="s">
        <v>245</v>
      </c>
      <c r="B246" s="117" t="s">
        <v>110</v>
      </c>
      <c r="C246" s="117" t="s">
        <v>246</v>
      </c>
      <c r="D246" s="117"/>
      <c r="E246" s="117"/>
      <c r="F246" s="117"/>
      <c r="G246" s="117"/>
      <c r="H246" s="117"/>
      <c r="I246" s="124">
        <f>I247</f>
        <v>9000</v>
      </c>
      <c r="J246" s="124">
        <f>J247</f>
        <v>18000</v>
      </c>
    </row>
    <row r="247" spans="1:10" ht="15.75">
      <c r="A247" s="120" t="s">
        <v>306</v>
      </c>
      <c r="B247" s="117" t="s">
        <v>110</v>
      </c>
      <c r="C247" s="117" t="s">
        <v>319</v>
      </c>
      <c r="D247" s="117"/>
      <c r="E247" s="117"/>
      <c r="F247" s="117"/>
      <c r="G247" s="117"/>
      <c r="H247" s="117"/>
      <c r="I247" s="124">
        <f>I248+I249</f>
        <v>9000</v>
      </c>
      <c r="J247" s="124">
        <f>J248+J249</f>
        <v>18000</v>
      </c>
    </row>
    <row r="248" spans="1:10" ht="63" customHeight="1">
      <c r="A248" s="122" t="s">
        <v>1007</v>
      </c>
      <c r="B248" s="21" t="s">
        <v>110</v>
      </c>
      <c r="C248" s="21" t="s">
        <v>319</v>
      </c>
      <c r="D248" s="21" t="s">
        <v>1249</v>
      </c>
      <c r="E248" s="21" t="s">
        <v>68</v>
      </c>
      <c r="F248" s="21" t="s">
        <v>115</v>
      </c>
      <c r="G248" s="21" t="s">
        <v>1002</v>
      </c>
      <c r="H248" s="21" t="s">
        <v>160</v>
      </c>
      <c r="I248" s="171">
        <v>9000</v>
      </c>
      <c r="J248" s="171">
        <v>3000</v>
      </c>
    </row>
    <row r="249" spans="1:10" ht="79.5" customHeight="1">
      <c r="A249" s="122" t="s">
        <v>860</v>
      </c>
      <c r="B249" s="112" t="s">
        <v>110</v>
      </c>
      <c r="C249" s="112" t="s">
        <v>319</v>
      </c>
      <c r="D249" s="112" t="s">
        <v>1249</v>
      </c>
      <c r="E249" s="112" t="s">
        <v>68</v>
      </c>
      <c r="F249" s="112" t="s">
        <v>69</v>
      </c>
      <c r="G249" s="112" t="s">
        <v>1466</v>
      </c>
      <c r="H249" s="112" t="s">
        <v>160</v>
      </c>
      <c r="I249" s="171">
        <v>0</v>
      </c>
      <c r="J249" s="171">
        <v>15000</v>
      </c>
    </row>
    <row r="250" spans="1:10" ht="33" customHeight="1">
      <c r="A250" s="166" t="s">
        <v>240</v>
      </c>
      <c r="B250" s="167" t="s">
        <v>285</v>
      </c>
      <c r="C250" s="167"/>
      <c r="D250" s="167"/>
      <c r="E250" s="167"/>
      <c r="F250" s="167"/>
      <c r="G250" s="167"/>
      <c r="H250" s="167"/>
      <c r="I250" s="148">
        <f>I251+I255</f>
        <v>1413259.0599999998</v>
      </c>
      <c r="J250" s="148">
        <f>J251+J255</f>
        <v>1413259.0599999998</v>
      </c>
    </row>
    <row r="251" spans="1:10" ht="15.75">
      <c r="A251" s="168" t="s">
        <v>275</v>
      </c>
      <c r="B251" s="117" t="s">
        <v>285</v>
      </c>
      <c r="C251" s="117" t="s">
        <v>276</v>
      </c>
      <c r="D251" s="117"/>
      <c r="E251" s="117"/>
      <c r="F251" s="117"/>
      <c r="G251" s="117"/>
      <c r="H251" s="117"/>
      <c r="I251" s="124">
        <f>I252</f>
        <v>1413259.0599999998</v>
      </c>
      <c r="J251" s="124">
        <f>J252</f>
        <v>1413259.0599999998</v>
      </c>
    </row>
    <row r="252" spans="1:10" ht="47.25">
      <c r="A252" s="168" t="s">
        <v>602</v>
      </c>
      <c r="B252" s="22" t="s">
        <v>285</v>
      </c>
      <c r="C252" s="22" t="s">
        <v>126</v>
      </c>
      <c r="D252" s="22"/>
      <c r="E252" s="22"/>
      <c r="F252" s="22"/>
      <c r="G252" s="22"/>
      <c r="H252" s="22"/>
      <c r="I252" s="124">
        <f>I253+I254</f>
        <v>1413259.0599999998</v>
      </c>
      <c r="J252" s="124">
        <f>J253+J254</f>
        <v>1413259.0599999998</v>
      </c>
    </row>
    <row r="253" spans="1:10" ht="97.5" customHeight="1">
      <c r="A253" s="60" t="s">
        <v>353</v>
      </c>
      <c r="B253" s="21" t="s">
        <v>285</v>
      </c>
      <c r="C253" s="21" t="s">
        <v>126</v>
      </c>
      <c r="D253" s="21" t="s">
        <v>115</v>
      </c>
      <c r="E253" s="21" t="s">
        <v>60</v>
      </c>
      <c r="F253" s="21" t="s">
        <v>115</v>
      </c>
      <c r="G253" s="21" t="s">
        <v>540</v>
      </c>
      <c r="H253" s="21" t="s">
        <v>159</v>
      </c>
      <c r="I253" s="183">
        <f>920647.2+278035.46</f>
        <v>1198682.66</v>
      </c>
      <c r="J253" s="183">
        <f>920647.2+278035.46</f>
        <v>1198682.66</v>
      </c>
    </row>
    <row r="254" spans="1:10" ht="68.25" customHeight="1">
      <c r="A254" s="60" t="s">
        <v>582</v>
      </c>
      <c r="B254" s="21" t="s">
        <v>285</v>
      </c>
      <c r="C254" s="21" t="s">
        <v>126</v>
      </c>
      <c r="D254" s="21" t="s">
        <v>115</v>
      </c>
      <c r="E254" s="21" t="s">
        <v>60</v>
      </c>
      <c r="F254" s="21" t="s">
        <v>115</v>
      </c>
      <c r="G254" s="21" t="s">
        <v>540</v>
      </c>
      <c r="H254" s="21" t="s">
        <v>160</v>
      </c>
      <c r="I254" s="408">
        <f>500+4000+5000+188966.4+16110</f>
        <v>214576.4</v>
      </c>
      <c r="J254" s="408">
        <f>500+4000+5000+188966.4+16110</f>
        <v>214576.4</v>
      </c>
    </row>
    <row r="255" spans="1:10" ht="15.75">
      <c r="A255" s="168" t="s">
        <v>245</v>
      </c>
      <c r="B255" s="22" t="s">
        <v>285</v>
      </c>
      <c r="C255" s="22" t="s">
        <v>246</v>
      </c>
      <c r="D255" s="101"/>
      <c r="E255" s="101"/>
      <c r="F255" s="101"/>
      <c r="G255" s="101"/>
      <c r="H255" s="101"/>
      <c r="I255" s="103">
        <f>I256</f>
        <v>0</v>
      </c>
      <c r="J255" s="103">
        <f>J256</f>
        <v>0</v>
      </c>
    </row>
    <row r="256" spans="1:10" ht="15.75">
      <c r="A256" s="168" t="s">
        <v>306</v>
      </c>
      <c r="B256" s="22" t="s">
        <v>285</v>
      </c>
      <c r="C256" s="22" t="s">
        <v>319</v>
      </c>
      <c r="D256" s="22"/>
      <c r="E256" s="22"/>
      <c r="F256" s="22"/>
      <c r="G256" s="22"/>
      <c r="H256" s="22"/>
      <c r="I256" s="124">
        <f>I257+I258</f>
        <v>0</v>
      </c>
      <c r="J256" s="124">
        <f>J257+J258</f>
        <v>0</v>
      </c>
    </row>
    <row r="257" spans="1:10" ht="66.75" customHeight="1">
      <c r="A257" s="122" t="s">
        <v>858</v>
      </c>
      <c r="B257" s="21" t="s">
        <v>285</v>
      </c>
      <c r="C257" s="21" t="s">
        <v>319</v>
      </c>
      <c r="D257" s="21" t="s">
        <v>1249</v>
      </c>
      <c r="E257" s="21" t="s">
        <v>68</v>
      </c>
      <c r="F257" s="21" t="s">
        <v>69</v>
      </c>
      <c r="G257" s="21" t="s">
        <v>837</v>
      </c>
      <c r="H257" s="21" t="s">
        <v>160</v>
      </c>
      <c r="I257" s="171">
        <v>0</v>
      </c>
      <c r="J257" s="171">
        <v>0</v>
      </c>
    </row>
    <row r="258" spans="1:10" ht="63" hidden="1">
      <c r="A258" s="122" t="s">
        <v>903</v>
      </c>
      <c r="B258" s="21" t="s">
        <v>285</v>
      </c>
      <c r="C258" s="21" t="s">
        <v>319</v>
      </c>
      <c r="D258" s="21" t="s">
        <v>1249</v>
      </c>
      <c r="E258" s="21" t="s">
        <v>68</v>
      </c>
      <c r="F258" s="21" t="s">
        <v>115</v>
      </c>
      <c r="G258" s="21" t="s">
        <v>927</v>
      </c>
      <c r="H258" s="21" t="s">
        <v>160</v>
      </c>
      <c r="I258" s="171">
        <v>0</v>
      </c>
      <c r="J258" s="171">
        <v>0</v>
      </c>
    </row>
    <row r="259" spans="1:10" ht="15.75">
      <c r="A259" s="166" t="s">
        <v>1229</v>
      </c>
      <c r="B259" s="167"/>
      <c r="C259" s="167"/>
      <c r="D259" s="167"/>
      <c r="E259" s="167"/>
      <c r="F259" s="167"/>
      <c r="G259" s="167"/>
      <c r="H259" s="167"/>
      <c r="I259" s="148">
        <f>I11+I141+I152+I234+I250</f>
        <v>239764004.17000002</v>
      </c>
      <c r="J259" s="148">
        <f>J11+J141+J152+J234+J250</f>
        <v>233697890.23</v>
      </c>
    </row>
    <row r="260" spans="7:10" ht="15">
      <c r="G260" s="234"/>
      <c r="I260" s="441"/>
      <c r="J260" s="441"/>
    </row>
    <row r="261" spans="9:10" ht="15">
      <c r="I261" s="441"/>
      <c r="J261" s="441"/>
    </row>
    <row r="264" spans="9:10" ht="15">
      <c r="I264" s="441"/>
      <c r="J264" s="441"/>
    </row>
    <row r="265" spans="9:10" ht="15">
      <c r="I265" s="441"/>
      <c r="J265" s="441"/>
    </row>
  </sheetData>
  <sheetProtection/>
  <mergeCells count="10">
    <mergeCell ref="C8:C9"/>
    <mergeCell ref="I8:J8"/>
    <mergeCell ref="D8:G8"/>
    <mergeCell ref="H8:H9"/>
    <mergeCell ref="B1:I1"/>
    <mergeCell ref="B2:I2"/>
    <mergeCell ref="B3:I3"/>
    <mergeCell ref="A5:I6"/>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rowBreaks count="3" manualBreakCount="3">
    <brk id="103" max="9" man="1"/>
    <brk id="122" max="9" man="1"/>
    <brk id="25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2021-04-21T06:24:56Z</cp:lastPrinted>
  <dcterms:created xsi:type="dcterms:W3CDTF">2012-10-04T08:08:03Z</dcterms:created>
  <dcterms:modified xsi:type="dcterms:W3CDTF">2021-04-29T08:29:14Z</dcterms:modified>
  <cp:category/>
  <cp:version/>
  <cp:contentType/>
  <cp:contentStatus/>
</cp:coreProperties>
</file>